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/>
  </bookViews>
  <sheets>
    <sheet name="франшиза" sheetId="1" r:id="rId1"/>
    <sheet name="mini" sheetId="2" r:id="rId2"/>
    <sheet name="premium" sheetId="3" r:id="rId3"/>
    <sheet name="VIP" sheetId="4" r:id="rId4"/>
    <sheet name="самостоятельный расчет" sheetId="5" r:id="rId5"/>
  </sheets>
  <calcPr calcId="145621"/>
</workbook>
</file>

<file path=xl/calcChain.xml><?xml version="1.0" encoding="utf-8"?>
<calcChain xmlns="http://schemas.openxmlformats.org/spreadsheetml/2006/main">
  <c r="R28" i="5" l="1"/>
  <c r="S28" i="5"/>
  <c r="T28" i="5"/>
  <c r="U28" i="5"/>
  <c r="V28" i="5"/>
  <c r="W28" i="5"/>
  <c r="X28" i="5"/>
  <c r="Y28" i="5"/>
  <c r="Z28" i="5"/>
  <c r="AA28" i="5"/>
  <c r="AB28" i="5"/>
  <c r="Q28" i="5"/>
  <c r="E28" i="5"/>
  <c r="F28" i="5"/>
  <c r="G28" i="5"/>
  <c r="H28" i="5"/>
  <c r="I28" i="5"/>
  <c r="J28" i="5"/>
  <c r="K28" i="5"/>
  <c r="L28" i="5"/>
  <c r="M28" i="5"/>
  <c r="N28" i="5"/>
  <c r="O28" i="5"/>
  <c r="D28" i="5"/>
  <c r="D67" i="5" l="1"/>
  <c r="D66" i="5"/>
  <c r="D64" i="5"/>
  <c r="R57" i="5"/>
  <c r="S57" i="5"/>
  <c r="T57" i="5"/>
  <c r="U57" i="5"/>
  <c r="V57" i="5"/>
  <c r="W57" i="5"/>
  <c r="X57" i="5"/>
  <c r="Y57" i="5"/>
  <c r="Z57" i="5"/>
  <c r="AA57" i="5"/>
  <c r="AB57" i="5"/>
  <c r="Q57" i="5"/>
  <c r="R56" i="5"/>
  <c r="S56" i="5"/>
  <c r="T56" i="5"/>
  <c r="U56" i="5"/>
  <c r="V56" i="5"/>
  <c r="W56" i="5"/>
  <c r="X56" i="5"/>
  <c r="Y56" i="5"/>
  <c r="Z56" i="5"/>
  <c r="AA56" i="5"/>
  <c r="AB56" i="5"/>
  <c r="Q56" i="5"/>
  <c r="R50" i="5"/>
  <c r="S50" i="5"/>
  <c r="T50" i="5"/>
  <c r="U50" i="5"/>
  <c r="V50" i="5"/>
  <c r="W50" i="5"/>
  <c r="X50" i="5"/>
  <c r="Y50" i="5"/>
  <c r="Z50" i="5"/>
  <c r="AA50" i="5"/>
  <c r="AB50" i="5"/>
  <c r="Q50" i="5"/>
  <c r="R49" i="5"/>
  <c r="S49" i="5"/>
  <c r="T49" i="5"/>
  <c r="U49" i="5"/>
  <c r="V49" i="5"/>
  <c r="W49" i="5"/>
  <c r="X49" i="5"/>
  <c r="Y49" i="5"/>
  <c r="Z49" i="5"/>
  <c r="AA49" i="5"/>
  <c r="AB49" i="5"/>
  <c r="Q49" i="5"/>
  <c r="R48" i="5"/>
  <c r="S48" i="5"/>
  <c r="T48" i="5"/>
  <c r="U48" i="5"/>
  <c r="V48" i="5"/>
  <c r="W48" i="5"/>
  <c r="X48" i="5"/>
  <c r="Y48" i="5"/>
  <c r="Z48" i="5"/>
  <c r="AA48" i="5"/>
  <c r="AB48" i="5"/>
  <c r="Q48" i="5"/>
  <c r="R46" i="5"/>
  <c r="T46" i="5"/>
  <c r="V46" i="5"/>
  <c r="X46" i="5"/>
  <c r="Z46" i="5"/>
  <c r="AB46" i="5"/>
  <c r="R42" i="5"/>
  <c r="S42" i="5"/>
  <c r="T42" i="5"/>
  <c r="U42" i="5"/>
  <c r="V42" i="5"/>
  <c r="W42" i="5"/>
  <c r="X42" i="5"/>
  <c r="Y42" i="5"/>
  <c r="Z42" i="5"/>
  <c r="AA42" i="5"/>
  <c r="AB42" i="5"/>
  <c r="Q42" i="5"/>
  <c r="E57" i="5"/>
  <c r="F57" i="5"/>
  <c r="G57" i="5"/>
  <c r="H57" i="5"/>
  <c r="I57" i="5"/>
  <c r="J57" i="5"/>
  <c r="K57" i="5"/>
  <c r="L57" i="5"/>
  <c r="M57" i="5"/>
  <c r="N57" i="5"/>
  <c r="O57" i="5"/>
  <c r="D57" i="5"/>
  <c r="E56" i="5"/>
  <c r="F56" i="5"/>
  <c r="G56" i="5"/>
  <c r="H56" i="5"/>
  <c r="I56" i="5"/>
  <c r="J56" i="5"/>
  <c r="K56" i="5"/>
  <c r="L56" i="5"/>
  <c r="M56" i="5"/>
  <c r="N56" i="5"/>
  <c r="O56" i="5"/>
  <c r="D56" i="5"/>
  <c r="E52" i="5"/>
  <c r="F52" i="5"/>
  <c r="G52" i="5"/>
  <c r="H52" i="5"/>
  <c r="I52" i="5"/>
  <c r="J52" i="5"/>
  <c r="K52" i="5"/>
  <c r="L52" i="5"/>
  <c r="M52" i="5"/>
  <c r="N52" i="5"/>
  <c r="O52" i="5"/>
  <c r="D52" i="5"/>
  <c r="E50" i="5"/>
  <c r="F50" i="5"/>
  <c r="G50" i="5"/>
  <c r="H50" i="5"/>
  <c r="I50" i="5"/>
  <c r="J50" i="5"/>
  <c r="K50" i="5"/>
  <c r="L50" i="5"/>
  <c r="M50" i="5"/>
  <c r="N50" i="5"/>
  <c r="O50" i="5"/>
  <c r="D50" i="5"/>
  <c r="E49" i="5"/>
  <c r="F49" i="5"/>
  <c r="G49" i="5"/>
  <c r="H49" i="5"/>
  <c r="I49" i="5"/>
  <c r="J49" i="5"/>
  <c r="K49" i="5"/>
  <c r="L49" i="5"/>
  <c r="M49" i="5"/>
  <c r="N49" i="5"/>
  <c r="O49" i="5"/>
  <c r="D49" i="5"/>
  <c r="E48" i="5"/>
  <c r="F48" i="5"/>
  <c r="G48" i="5"/>
  <c r="H48" i="5"/>
  <c r="I48" i="5"/>
  <c r="J48" i="5"/>
  <c r="K48" i="5"/>
  <c r="L48" i="5"/>
  <c r="M48" i="5"/>
  <c r="N48" i="5"/>
  <c r="O48" i="5"/>
  <c r="D48" i="5"/>
  <c r="E42" i="5"/>
  <c r="F42" i="5"/>
  <c r="G42" i="5"/>
  <c r="H42" i="5"/>
  <c r="I42" i="5"/>
  <c r="J42" i="5"/>
  <c r="K42" i="5"/>
  <c r="L42" i="5"/>
  <c r="M42" i="5"/>
  <c r="N42" i="5"/>
  <c r="O42" i="5"/>
  <c r="D42" i="5"/>
  <c r="E39" i="5"/>
  <c r="D24" i="5"/>
  <c r="Q24" i="5" s="1"/>
  <c r="D26" i="5"/>
  <c r="Q26" i="5" s="1"/>
  <c r="D25" i="5"/>
  <c r="Q25" i="5" s="1"/>
  <c r="D23" i="5"/>
  <c r="Q23" i="5" s="1"/>
  <c r="D22" i="5"/>
  <c r="Q22" i="5" s="1"/>
  <c r="D19" i="5"/>
  <c r="E19" i="5"/>
  <c r="D46" i="5"/>
  <c r="E46" i="5"/>
  <c r="D68" i="5"/>
  <c r="AA46" i="5"/>
  <c r="Y46" i="5"/>
  <c r="W46" i="5"/>
  <c r="U46" i="5"/>
  <c r="S46" i="5"/>
  <c r="Q46" i="5"/>
  <c r="O46" i="5"/>
  <c r="N46" i="5"/>
  <c r="M46" i="5"/>
  <c r="L46" i="5"/>
  <c r="K46" i="5"/>
  <c r="J46" i="5"/>
  <c r="I46" i="5"/>
  <c r="H46" i="5"/>
  <c r="G46" i="5"/>
  <c r="F46" i="5"/>
  <c r="F39" i="5"/>
  <c r="G39" i="5" s="1"/>
  <c r="H39" i="5" s="1"/>
  <c r="I39" i="5" s="1"/>
  <c r="J39" i="5" s="1"/>
  <c r="K39" i="5" s="1"/>
  <c r="L39" i="5" s="1"/>
  <c r="M39" i="5" s="1"/>
  <c r="N39" i="5" s="1"/>
  <c r="O39" i="5" s="1"/>
  <c r="Q39" i="5" s="1"/>
  <c r="R39" i="5" s="1"/>
  <c r="S39" i="5" s="1"/>
  <c r="T39" i="5" s="1"/>
  <c r="U39" i="5" s="1"/>
  <c r="V39" i="5" s="1"/>
  <c r="W39" i="5" s="1"/>
  <c r="X39" i="5" s="1"/>
  <c r="Y39" i="5" s="1"/>
  <c r="Z39" i="5" s="1"/>
  <c r="AA39" i="5" s="1"/>
  <c r="AB39" i="5" s="1"/>
  <c r="AB19" i="5"/>
  <c r="AA19" i="5"/>
  <c r="Z19" i="5"/>
  <c r="Y19" i="5"/>
  <c r="X19" i="5"/>
  <c r="W19" i="5"/>
  <c r="V19" i="5"/>
  <c r="U19" i="5"/>
  <c r="T19" i="5"/>
  <c r="S19" i="5"/>
  <c r="R19" i="5"/>
  <c r="Q19" i="5"/>
  <c r="O19" i="5"/>
  <c r="N19" i="5"/>
  <c r="M19" i="5"/>
  <c r="L19" i="5"/>
  <c r="K19" i="5"/>
  <c r="J19" i="5"/>
  <c r="I19" i="5"/>
  <c r="H19" i="5"/>
  <c r="G19" i="5"/>
  <c r="F19" i="5"/>
  <c r="E23" i="5" l="1"/>
  <c r="E29" i="5" s="1"/>
  <c r="Q31" i="5"/>
  <c r="Q37" i="5" s="1"/>
  <c r="R25" i="5"/>
  <c r="R31" i="5" s="1"/>
  <c r="R37" i="5" s="1"/>
  <c r="Q34" i="5"/>
  <c r="R22" i="5"/>
  <c r="R34" i="5" s="1"/>
  <c r="Q29" i="5"/>
  <c r="Q35" i="5" s="1"/>
  <c r="R23" i="5"/>
  <c r="R29" i="5" s="1"/>
  <c r="Q32" i="5"/>
  <c r="Q38" i="5" s="1"/>
  <c r="R26" i="5"/>
  <c r="R32" i="5" s="1"/>
  <c r="R38" i="5" s="1"/>
  <c r="Q30" i="5"/>
  <c r="Q36" i="5" s="1"/>
  <c r="R24" i="5"/>
  <c r="S24" i="5" s="1"/>
  <c r="E22" i="5"/>
  <c r="E25" i="5"/>
  <c r="E26" i="5"/>
  <c r="E24" i="5"/>
  <c r="D34" i="5"/>
  <c r="D29" i="5"/>
  <c r="D35" i="5" s="1"/>
  <c r="D30" i="5"/>
  <c r="D36" i="5" s="1"/>
  <c r="D31" i="5"/>
  <c r="D37" i="5" s="1"/>
  <c r="D32" i="5"/>
  <c r="D38" i="5" s="1"/>
  <c r="E35" i="5"/>
  <c r="F23" i="5"/>
  <c r="S23" i="5"/>
  <c r="S29" i="5" s="1"/>
  <c r="S35" i="5" s="1"/>
  <c r="S26" i="5"/>
  <c r="S32" i="5" s="1"/>
  <c r="S22" i="5"/>
  <c r="S34" i="5" s="1"/>
  <c r="AC46" i="5"/>
  <c r="S25" i="5"/>
  <c r="S30" i="5"/>
  <c r="S36" i="5" s="1"/>
  <c r="T24" i="5"/>
  <c r="R30" i="5"/>
  <c r="R36" i="5" s="1"/>
  <c r="T23" i="5"/>
  <c r="P46" i="5"/>
  <c r="D33" i="5"/>
  <c r="D59" i="5" s="1"/>
  <c r="D58" i="5" s="1"/>
  <c r="D27" i="5"/>
  <c r="D40" i="5" s="1"/>
  <c r="R35" i="5"/>
  <c r="R33" i="5" s="1"/>
  <c r="R27" i="5"/>
  <c r="Q27" i="5"/>
  <c r="Q44" i="5" s="1"/>
  <c r="Q33" i="5"/>
  <c r="C72" i="5"/>
  <c r="T22" i="5" l="1"/>
  <c r="T26" i="5"/>
  <c r="F24" i="5"/>
  <c r="E30" i="5"/>
  <c r="E36" i="5" s="1"/>
  <c r="E31" i="5"/>
  <c r="E37" i="5" s="1"/>
  <c r="F25" i="5"/>
  <c r="F29" i="5"/>
  <c r="F35" i="5" s="1"/>
  <c r="G23" i="5"/>
  <c r="F26" i="5"/>
  <c r="E32" i="5"/>
  <c r="E38" i="5" s="1"/>
  <c r="F22" i="5"/>
  <c r="R44" i="5"/>
  <c r="R40" i="5" s="1"/>
  <c r="T32" i="5"/>
  <c r="U26" i="5"/>
  <c r="S31" i="5"/>
  <c r="T25" i="5"/>
  <c r="T30" i="5"/>
  <c r="T36" i="5" s="1"/>
  <c r="U24" i="5"/>
  <c r="T29" i="5"/>
  <c r="T35" i="5" s="1"/>
  <c r="U23" i="5"/>
  <c r="T34" i="5"/>
  <c r="U22" i="5"/>
  <c r="D60" i="5"/>
  <c r="D72" i="5" s="1"/>
  <c r="C73" i="5"/>
  <c r="Q59" i="5"/>
  <c r="Q58" i="5" s="1"/>
  <c r="R59" i="5"/>
  <c r="R58" i="5" s="1"/>
  <c r="Q40" i="5"/>
  <c r="S38" i="5"/>
  <c r="E34" i="5" l="1"/>
  <c r="E33" i="5" s="1"/>
  <c r="E27" i="5"/>
  <c r="E40" i="5" s="1"/>
  <c r="F32" i="5"/>
  <c r="F38" i="5" s="1"/>
  <c r="G26" i="5"/>
  <c r="G24" i="5"/>
  <c r="F30" i="5"/>
  <c r="F36" i="5" s="1"/>
  <c r="G22" i="5"/>
  <c r="H23" i="5"/>
  <c r="G29" i="5"/>
  <c r="G35" i="5" s="1"/>
  <c r="F31" i="5"/>
  <c r="F37" i="5" s="1"/>
  <c r="G25" i="5"/>
  <c r="U32" i="5"/>
  <c r="V26" i="5"/>
  <c r="S37" i="5"/>
  <c r="S27" i="5"/>
  <c r="S33" i="5"/>
  <c r="S59" i="5" s="1"/>
  <c r="S58" i="5" s="1"/>
  <c r="U25" i="5"/>
  <c r="T31" i="5"/>
  <c r="U30" i="5"/>
  <c r="U36" i="5" s="1"/>
  <c r="V24" i="5"/>
  <c r="U29" i="5"/>
  <c r="U35" i="5" s="1"/>
  <c r="V23" i="5"/>
  <c r="U34" i="5"/>
  <c r="V22" i="5"/>
  <c r="D73" i="5"/>
  <c r="R60" i="5"/>
  <c r="T38" i="5"/>
  <c r="Q60" i="5"/>
  <c r="G31" i="5" l="1"/>
  <c r="G37" i="5" s="1"/>
  <c r="H25" i="5"/>
  <c r="H29" i="5"/>
  <c r="H35" i="5" s="1"/>
  <c r="I23" i="5"/>
  <c r="H22" i="5"/>
  <c r="H26" i="5"/>
  <c r="G32" i="5"/>
  <c r="G38" i="5" s="1"/>
  <c r="F34" i="5"/>
  <c r="F27" i="5"/>
  <c r="F40" i="5" s="1"/>
  <c r="H24" i="5"/>
  <c r="G30" i="5"/>
  <c r="G36" i="5" s="1"/>
  <c r="F33" i="5"/>
  <c r="F59" i="5" s="1"/>
  <c r="F58" i="5" s="1"/>
  <c r="E59" i="5"/>
  <c r="E58" i="5" s="1"/>
  <c r="S44" i="5"/>
  <c r="S40" i="5" s="1"/>
  <c r="S60" i="5" s="1"/>
  <c r="V32" i="5"/>
  <c r="W26" i="5"/>
  <c r="U31" i="5"/>
  <c r="V25" i="5"/>
  <c r="T37" i="5"/>
  <c r="T33" i="5" s="1"/>
  <c r="T59" i="5" s="1"/>
  <c r="T58" i="5" s="1"/>
  <c r="T27" i="5"/>
  <c r="V30" i="5"/>
  <c r="V36" i="5" s="1"/>
  <c r="W24" i="5"/>
  <c r="V29" i="5"/>
  <c r="V35" i="5" s="1"/>
  <c r="W23" i="5"/>
  <c r="V34" i="5"/>
  <c r="W22" i="5"/>
  <c r="G40" i="5"/>
  <c r="U38" i="5"/>
  <c r="F60" i="5" l="1"/>
  <c r="I22" i="5"/>
  <c r="I29" i="5"/>
  <c r="I35" i="5" s="1"/>
  <c r="J23" i="5"/>
  <c r="I25" i="5"/>
  <c r="H31" i="5"/>
  <c r="H37" i="5" s="1"/>
  <c r="E60" i="5"/>
  <c r="E72" i="5" s="1"/>
  <c r="E73" i="5" s="1"/>
  <c r="I24" i="5"/>
  <c r="H30" i="5"/>
  <c r="H36" i="5" s="1"/>
  <c r="H32" i="5"/>
  <c r="H38" i="5" s="1"/>
  <c r="I26" i="5"/>
  <c r="G34" i="5"/>
  <c r="G33" i="5" s="1"/>
  <c r="G59" i="5" s="1"/>
  <c r="G58" i="5" s="1"/>
  <c r="G27" i="5"/>
  <c r="T44" i="5"/>
  <c r="T40" i="5" s="1"/>
  <c r="T60" i="5" s="1"/>
  <c r="W32" i="5"/>
  <c r="X26" i="5"/>
  <c r="W25" i="5"/>
  <c r="V31" i="5"/>
  <c r="U27" i="5"/>
  <c r="U37" i="5"/>
  <c r="U33" i="5" s="1"/>
  <c r="U59" i="5" s="1"/>
  <c r="U58" i="5" s="1"/>
  <c r="W30" i="5"/>
  <c r="W36" i="5" s="1"/>
  <c r="X24" i="5"/>
  <c r="W29" i="5"/>
  <c r="W35" i="5" s="1"/>
  <c r="X23" i="5"/>
  <c r="W34" i="5"/>
  <c r="X22" i="5"/>
  <c r="G60" i="5"/>
  <c r="V38" i="5"/>
  <c r="I32" i="5" l="1"/>
  <c r="I38" i="5" s="1"/>
  <c r="J26" i="5"/>
  <c r="H34" i="5"/>
  <c r="H27" i="5"/>
  <c r="H40" i="5" s="1"/>
  <c r="H33" i="5"/>
  <c r="H59" i="5" s="1"/>
  <c r="H58" i="5" s="1"/>
  <c r="J24" i="5"/>
  <c r="I30" i="5"/>
  <c r="I36" i="5" s="1"/>
  <c r="F72" i="5"/>
  <c r="F73" i="5" s="1"/>
  <c r="I31" i="5"/>
  <c r="I37" i="5" s="1"/>
  <c r="J25" i="5"/>
  <c r="J29" i="5"/>
  <c r="J35" i="5" s="1"/>
  <c r="K23" i="5"/>
  <c r="J22" i="5"/>
  <c r="U44" i="5"/>
  <c r="U40" i="5" s="1"/>
  <c r="U60" i="5" s="1"/>
  <c r="X32" i="5"/>
  <c r="Y26" i="5"/>
  <c r="V27" i="5"/>
  <c r="V37" i="5"/>
  <c r="V33" i="5" s="1"/>
  <c r="V59" i="5" s="1"/>
  <c r="V58" i="5" s="1"/>
  <c r="W31" i="5"/>
  <c r="X25" i="5"/>
  <c r="X30" i="5"/>
  <c r="X36" i="5" s="1"/>
  <c r="Y24" i="5"/>
  <c r="X29" i="5"/>
  <c r="X35" i="5" s="1"/>
  <c r="Y23" i="5"/>
  <c r="X34" i="5"/>
  <c r="Y22" i="5"/>
  <c r="I40" i="5"/>
  <c r="W38" i="5"/>
  <c r="H60" i="5" l="1"/>
  <c r="I34" i="5"/>
  <c r="I27" i="5"/>
  <c r="J32" i="5"/>
  <c r="J38" i="5" s="1"/>
  <c r="K26" i="5"/>
  <c r="K22" i="5"/>
  <c r="K29" i="5"/>
  <c r="K35" i="5" s="1"/>
  <c r="L23" i="5"/>
  <c r="K25" i="5"/>
  <c r="J31" i="5"/>
  <c r="J37" i="5" s="1"/>
  <c r="K24" i="5"/>
  <c r="J30" i="5"/>
  <c r="J36" i="5" s="1"/>
  <c r="G72" i="5"/>
  <c r="G73" i="5" s="1"/>
  <c r="I33" i="5"/>
  <c r="I59" i="5" s="1"/>
  <c r="I58" i="5" s="1"/>
  <c r="V44" i="5"/>
  <c r="V40" i="5" s="1"/>
  <c r="V60" i="5" s="1"/>
  <c r="Y32" i="5"/>
  <c r="Z26" i="5"/>
  <c r="Y25" i="5"/>
  <c r="X31" i="5"/>
  <c r="W37" i="5"/>
  <c r="W33" i="5" s="1"/>
  <c r="W59" i="5" s="1"/>
  <c r="W58" i="5" s="1"/>
  <c r="W27" i="5"/>
  <c r="Y30" i="5"/>
  <c r="Y36" i="5" s="1"/>
  <c r="Z24" i="5"/>
  <c r="Y29" i="5"/>
  <c r="Y35" i="5" s="1"/>
  <c r="Z23" i="5"/>
  <c r="Y34" i="5"/>
  <c r="Z22" i="5"/>
  <c r="X38" i="5"/>
  <c r="I60" i="5" l="1"/>
  <c r="L24" i="5"/>
  <c r="K30" i="5"/>
  <c r="K36" i="5" s="1"/>
  <c r="K31" i="5"/>
  <c r="K37" i="5" s="1"/>
  <c r="L25" i="5"/>
  <c r="L29" i="5"/>
  <c r="L35" i="5" s="1"/>
  <c r="M23" i="5"/>
  <c r="L22" i="5"/>
  <c r="K32" i="5"/>
  <c r="K38" i="5" s="1"/>
  <c r="L26" i="5"/>
  <c r="J34" i="5"/>
  <c r="J33" i="5" s="1"/>
  <c r="J59" i="5" s="1"/>
  <c r="J58" i="5" s="1"/>
  <c r="J27" i="5"/>
  <c r="J44" i="5" s="1"/>
  <c r="J40" i="5" s="1"/>
  <c r="H72" i="5"/>
  <c r="H73" i="5" s="1"/>
  <c r="W44" i="5"/>
  <c r="W40" i="5" s="1"/>
  <c r="W60" i="5" s="1"/>
  <c r="Z32" i="5"/>
  <c r="AA26" i="5"/>
  <c r="Y31" i="5"/>
  <c r="Y37" i="5" s="1"/>
  <c r="Z25" i="5"/>
  <c r="X37" i="5"/>
  <c r="X33" i="5" s="1"/>
  <c r="X59" i="5" s="1"/>
  <c r="X58" i="5" s="1"/>
  <c r="X27" i="5"/>
  <c r="Z30" i="5"/>
  <c r="Z36" i="5" s="1"/>
  <c r="AA24" i="5"/>
  <c r="Z29" i="5"/>
  <c r="Z35" i="5" s="1"/>
  <c r="AA23" i="5"/>
  <c r="Y27" i="5"/>
  <c r="Z34" i="5"/>
  <c r="AA22" i="5"/>
  <c r="Y38" i="5"/>
  <c r="I72" i="5" l="1"/>
  <c r="J60" i="5"/>
  <c r="Y33" i="5"/>
  <c r="L32" i="5"/>
  <c r="L38" i="5" s="1"/>
  <c r="M26" i="5"/>
  <c r="M22" i="5"/>
  <c r="M29" i="5"/>
  <c r="M35" i="5" s="1"/>
  <c r="N23" i="5"/>
  <c r="M25" i="5"/>
  <c r="L31" i="5"/>
  <c r="L37" i="5" s="1"/>
  <c r="K34" i="5"/>
  <c r="K33" i="5" s="1"/>
  <c r="K27" i="5"/>
  <c r="K44" i="5" s="1"/>
  <c r="K40" i="5" s="1"/>
  <c r="M24" i="5"/>
  <c r="L30" i="5"/>
  <c r="L36" i="5" s="1"/>
  <c r="X44" i="5"/>
  <c r="X40" i="5" s="1"/>
  <c r="X60" i="5" s="1"/>
  <c r="Y44" i="5"/>
  <c r="Y40" i="5" s="1"/>
  <c r="AA32" i="5"/>
  <c r="AB26" i="5"/>
  <c r="AB32" i="5" s="1"/>
  <c r="AA25" i="5"/>
  <c r="Z31" i="5"/>
  <c r="AA30" i="5"/>
  <c r="AA36" i="5" s="1"/>
  <c r="AB24" i="5"/>
  <c r="AC24" i="5" s="1"/>
  <c r="AA29" i="5"/>
  <c r="AA35" i="5" s="1"/>
  <c r="AB23" i="5"/>
  <c r="AB29" i="5" s="1"/>
  <c r="AB35" i="5" s="1"/>
  <c r="AA34" i="5"/>
  <c r="AB22" i="5"/>
  <c r="AB34" i="5" s="1"/>
  <c r="Z38" i="5"/>
  <c r="Y59" i="5"/>
  <c r="Y58" i="5" s="1"/>
  <c r="I73" i="5"/>
  <c r="J72" i="5" l="1"/>
  <c r="K59" i="5"/>
  <c r="K58" i="5" s="1"/>
  <c r="K60" i="5"/>
  <c r="N24" i="5"/>
  <c r="M30" i="5"/>
  <c r="M36" i="5" s="1"/>
  <c r="N29" i="5"/>
  <c r="N35" i="5" s="1"/>
  <c r="O23" i="5"/>
  <c r="O29" i="5" s="1"/>
  <c r="O35" i="5" s="1"/>
  <c r="N22" i="5"/>
  <c r="AC22" i="5"/>
  <c r="M31" i="5"/>
  <c r="M37" i="5" s="1"/>
  <c r="N25" i="5"/>
  <c r="L34" i="5"/>
  <c r="L33" i="5" s="1"/>
  <c r="L27" i="5"/>
  <c r="L44" i="5" s="1"/>
  <c r="L40" i="5" s="1"/>
  <c r="M32" i="5"/>
  <c r="M38" i="5" s="1"/>
  <c r="N26" i="5"/>
  <c r="AC23" i="5"/>
  <c r="Z27" i="5"/>
  <c r="Z37" i="5"/>
  <c r="Z33" i="5" s="1"/>
  <c r="Z59" i="5" s="1"/>
  <c r="Z58" i="5" s="1"/>
  <c r="AA31" i="5"/>
  <c r="AA37" i="5" s="1"/>
  <c r="AB25" i="5"/>
  <c r="AB31" i="5" s="1"/>
  <c r="AB37" i="5" s="1"/>
  <c r="AB30" i="5"/>
  <c r="AB36" i="5" s="1"/>
  <c r="AA38" i="5"/>
  <c r="AA33" i="5" s="1"/>
  <c r="J73" i="5"/>
  <c r="Y60" i="5"/>
  <c r="K72" i="5" l="1"/>
  <c r="AA27" i="5"/>
  <c r="P23" i="5"/>
  <c r="L59" i="5"/>
  <c r="L58" i="5" s="1"/>
  <c r="M34" i="5"/>
  <c r="M33" i="5" s="1"/>
  <c r="M27" i="5"/>
  <c r="M44" i="5" s="1"/>
  <c r="M40" i="5" s="1"/>
  <c r="N32" i="5"/>
  <c r="N38" i="5" s="1"/>
  <c r="O26" i="5"/>
  <c r="O32" i="5" s="1"/>
  <c r="O25" i="5"/>
  <c r="N31" i="5"/>
  <c r="N37" i="5" s="1"/>
  <c r="O22" i="5"/>
  <c r="O34" i="5" s="1"/>
  <c r="P22" i="5"/>
  <c r="O24" i="5"/>
  <c r="O30" i="5" s="1"/>
  <c r="O27" i="5" s="1"/>
  <c r="O44" i="5" s="1"/>
  <c r="O40" i="5" s="1"/>
  <c r="N30" i="5"/>
  <c r="N36" i="5" s="1"/>
  <c r="Z44" i="5"/>
  <c r="Z40" i="5" s="1"/>
  <c r="Z60" i="5" s="1"/>
  <c r="AA44" i="5"/>
  <c r="AA40" i="5" s="1"/>
  <c r="AB27" i="5"/>
  <c r="AC27" i="5" s="1"/>
  <c r="AC25" i="5"/>
  <c r="O36" i="5"/>
  <c r="AA59" i="5"/>
  <c r="AA58" i="5" s="1"/>
  <c r="K73" i="5"/>
  <c r="O38" i="5"/>
  <c r="P26" i="5"/>
  <c r="AB38" i="5"/>
  <c r="AB33" i="5" s="1"/>
  <c r="AC26" i="5"/>
  <c r="L60" i="5" l="1"/>
  <c r="L72" i="5" s="1"/>
  <c r="L73" i="5" s="1"/>
  <c r="M59" i="5"/>
  <c r="M58" i="5" s="1"/>
  <c r="P24" i="5"/>
  <c r="O31" i="5"/>
  <c r="O37" i="5" s="1"/>
  <c r="O33" i="5" s="1"/>
  <c r="O59" i="5" s="1"/>
  <c r="O58" i="5" s="1"/>
  <c r="P25" i="5"/>
  <c r="N34" i="5"/>
  <c r="N33" i="5" s="1"/>
  <c r="N59" i="5" s="1"/>
  <c r="N58" i="5" s="1"/>
  <c r="N27" i="5"/>
  <c r="AB44" i="5"/>
  <c r="AB40" i="5" s="1"/>
  <c r="AC40" i="5" s="1"/>
  <c r="AA60" i="5"/>
  <c r="P33" i="5"/>
  <c r="AB59" i="5"/>
  <c r="AB58" i="5" s="1"/>
  <c r="AC58" i="5" s="1"/>
  <c r="AC33" i="5"/>
  <c r="M60" i="5" l="1"/>
  <c r="M72" i="5" s="1"/>
  <c r="M73" i="5" s="1"/>
  <c r="P58" i="5"/>
  <c r="N44" i="5"/>
  <c r="N40" i="5" s="1"/>
  <c r="P40" i="5" s="1"/>
  <c r="P27" i="5"/>
  <c r="AB60" i="5"/>
  <c r="AC60" i="5" s="1"/>
  <c r="C13" i="5" s="1"/>
  <c r="O60" i="5"/>
  <c r="N60" i="5" l="1"/>
  <c r="N72" i="5" s="1"/>
  <c r="N73" i="5" s="1"/>
  <c r="O72" i="5" l="1"/>
  <c r="Q68" i="5" s="1"/>
  <c r="P60" i="5"/>
  <c r="O73" i="5"/>
  <c r="Q70" i="5"/>
  <c r="Q72" i="5" l="1"/>
  <c r="Q73" i="5" s="1"/>
  <c r="D70" i="5"/>
  <c r="C12" i="5"/>
  <c r="R72" i="5" l="1"/>
  <c r="R73" i="5" s="1"/>
  <c r="S72" i="5" l="1"/>
  <c r="S73" i="5" s="1"/>
  <c r="T72" i="5"/>
  <c r="T73" i="5" l="1"/>
  <c r="U72" i="5"/>
  <c r="U73" i="5" l="1"/>
  <c r="V72" i="5"/>
  <c r="V73" i="5" l="1"/>
  <c r="W72" i="5"/>
  <c r="W73" i="5" l="1"/>
  <c r="X72" i="5"/>
  <c r="X73" i="5" l="1"/>
  <c r="Y72" i="5"/>
  <c r="Y73" i="5" l="1"/>
  <c r="Z72" i="5"/>
  <c r="Z73" i="5" l="1"/>
  <c r="AA72" i="5"/>
  <c r="AA73" i="5" l="1"/>
  <c r="AB72" i="5"/>
  <c r="AB73" i="5" s="1"/>
  <c r="Q17" i="4" l="1"/>
  <c r="R8" i="4"/>
  <c r="U8" i="4"/>
  <c r="Q8" i="4"/>
  <c r="R7" i="4"/>
  <c r="R14" i="4" s="1"/>
  <c r="R20" i="4" s="1"/>
  <c r="Z7" i="4"/>
  <c r="Z14" i="4" s="1"/>
  <c r="Z20" i="4" s="1"/>
  <c r="AA7" i="4"/>
  <c r="AA14" i="4" s="1"/>
  <c r="AA20" i="4" s="1"/>
  <c r="AB7" i="4"/>
  <c r="AB14" i="4" s="1"/>
  <c r="AB20" i="4" s="1"/>
  <c r="Q7" i="4"/>
  <c r="Q14" i="4" s="1"/>
  <c r="Q20" i="4" s="1"/>
  <c r="R6" i="4"/>
  <c r="AA6" i="4"/>
  <c r="AB6" i="4"/>
  <c r="Q6" i="4"/>
  <c r="F31" i="4"/>
  <c r="G31" i="4"/>
  <c r="H31" i="4"/>
  <c r="I31" i="4"/>
  <c r="J31" i="4"/>
  <c r="K31" i="4"/>
  <c r="E23" i="4"/>
  <c r="D17" i="4"/>
  <c r="F10" i="4"/>
  <c r="E10" i="4"/>
  <c r="E17" i="4" s="1"/>
  <c r="E9" i="4"/>
  <c r="E16" i="4" s="1"/>
  <c r="E22" i="4" s="1"/>
  <c r="E8" i="4"/>
  <c r="E15" i="4" s="1"/>
  <c r="E21" i="4" s="1"/>
  <c r="F8" i="4"/>
  <c r="F15" i="4" s="1"/>
  <c r="F21" i="4" s="1"/>
  <c r="G8" i="4"/>
  <c r="G15" i="4" s="1"/>
  <c r="G21" i="4" s="1"/>
  <c r="E7" i="4"/>
  <c r="E14" i="4" s="1"/>
  <c r="E20" i="4" s="1"/>
  <c r="F7" i="4"/>
  <c r="F14" i="4" s="1"/>
  <c r="F20" i="4" s="1"/>
  <c r="G7" i="4"/>
  <c r="G14" i="4" s="1"/>
  <c r="G20" i="4" s="1"/>
  <c r="H7" i="4"/>
  <c r="H14" i="4" s="1"/>
  <c r="H20" i="4" s="1"/>
  <c r="I7" i="4"/>
  <c r="I14" i="4" s="1"/>
  <c r="I20" i="4" s="1"/>
  <c r="J7" i="4"/>
  <c r="J14" i="4" s="1"/>
  <c r="J20" i="4" s="1"/>
  <c r="K7" i="4"/>
  <c r="K14" i="4" s="1"/>
  <c r="K20" i="4" s="1"/>
  <c r="L7" i="4"/>
  <c r="L14" i="4" s="1"/>
  <c r="L20" i="4" s="1"/>
  <c r="M7" i="4"/>
  <c r="M14" i="4" s="1"/>
  <c r="M20" i="4" s="1"/>
  <c r="N7" i="4"/>
  <c r="N14" i="4" s="1"/>
  <c r="N20" i="4" s="1"/>
  <c r="O7" i="4"/>
  <c r="O14" i="4" s="1"/>
  <c r="O20" i="4" s="1"/>
  <c r="D7" i="4"/>
  <c r="D14" i="4" s="1"/>
  <c r="D20" i="4" s="1"/>
  <c r="D8" i="4"/>
  <c r="D15" i="4" s="1"/>
  <c r="E6" i="4"/>
  <c r="F6" i="4"/>
  <c r="G6" i="4"/>
  <c r="H6" i="4"/>
  <c r="I6" i="4"/>
  <c r="J6" i="4"/>
  <c r="K6" i="4"/>
  <c r="L6" i="4"/>
  <c r="M6" i="4"/>
  <c r="N6" i="4"/>
  <c r="O6" i="4"/>
  <c r="D6" i="4"/>
  <c r="E3" i="4"/>
  <c r="F3" i="4"/>
  <c r="G3" i="4"/>
  <c r="H3" i="4"/>
  <c r="I3" i="4"/>
  <c r="J3" i="4"/>
  <c r="K3" i="4"/>
  <c r="L3" i="4"/>
  <c r="M3" i="4"/>
  <c r="N3" i="4"/>
  <c r="O3" i="4"/>
  <c r="F26" i="3"/>
  <c r="G26" i="3"/>
  <c r="H26" i="3"/>
  <c r="I26" i="3"/>
  <c r="E8" i="3"/>
  <c r="E14" i="3" s="1"/>
  <c r="E18" i="3" s="1"/>
  <c r="F8" i="3"/>
  <c r="F14" i="3" s="1"/>
  <c r="F18" i="3" s="1"/>
  <c r="G8" i="3"/>
  <c r="G14" i="3" s="1"/>
  <c r="G18" i="3" s="1"/>
  <c r="E7" i="3"/>
  <c r="F7" i="3"/>
  <c r="G7" i="3"/>
  <c r="H7" i="3"/>
  <c r="I7" i="3"/>
  <c r="J7" i="3"/>
  <c r="K7" i="3"/>
  <c r="L7" i="3"/>
  <c r="M7" i="3"/>
  <c r="N7" i="3"/>
  <c r="O7" i="3"/>
  <c r="D7" i="3"/>
  <c r="D13" i="3" s="1"/>
  <c r="D17" i="3" s="1"/>
  <c r="E6" i="3"/>
  <c r="F6" i="3"/>
  <c r="G6" i="3"/>
  <c r="H6" i="3"/>
  <c r="I6" i="3"/>
  <c r="J6" i="3"/>
  <c r="K6" i="3"/>
  <c r="L6" i="3"/>
  <c r="M6" i="3"/>
  <c r="N6" i="3"/>
  <c r="O6" i="3"/>
  <c r="E3" i="3"/>
  <c r="F3" i="3"/>
  <c r="G3" i="3"/>
  <c r="H3" i="3"/>
  <c r="I3" i="3"/>
  <c r="J3" i="3"/>
  <c r="K3" i="3"/>
  <c r="L3" i="3"/>
  <c r="M3" i="3"/>
  <c r="N3" i="3"/>
  <c r="O3" i="3"/>
  <c r="R14" i="2"/>
  <c r="R18" i="2" s="1"/>
  <c r="U14" i="2"/>
  <c r="U18" i="2" s="1"/>
  <c r="R13" i="2"/>
  <c r="R17" i="2" s="1"/>
  <c r="Z13" i="2"/>
  <c r="Z17" i="2" s="1"/>
  <c r="AA13" i="2"/>
  <c r="AA17" i="2" s="1"/>
  <c r="AB13" i="2"/>
  <c r="AB17" i="2" s="1"/>
  <c r="R12" i="2"/>
  <c r="R16" i="2" s="1"/>
  <c r="Q13" i="2"/>
  <c r="Q17" i="2" s="1"/>
  <c r="H12" i="2"/>
  <c r="H12" i="3" s="1"/>
  <c r="H16" i="3" s="1"/>
  <c r="I12" i="2"/>
  <c r="I13" i="4" s="1"/>
  <c r="J12" i="2"/>
  <c r="J12" i="3" s="1"/>
  <c r="J16" i="3" s="1"/>
  <c r="K12" i="2"/>
  <c r="K12" i="3" s="1"/>
  <c r="K16" i="3" s="1"/>
  <c r="G12" i="2"/>
  <c r="G12" i="3" s="1"/>
  <c r="G16" i="3" s="1"/>
  <c r="Q12" i="2"/>
  <c r="Q12" i="3" s="1"/>
  <c r="Q16" i="3" s="1"/>
  <c r="E12" i="2"/>
  <c r="E12" i="3" s="1"/>
  <c r="E16" i="3" s="1"/>
  <c r="S7" i="2"/>
  <c r="S13" i="2" s="1"/>
  <c r="S17" i="2" s="1"/>
  <c r="S8" i="2"/>
  <c r="S14" i="2" s="1"/>
  <c r="S18" i="2" s="1"/>
  <c r="S6" i="2"/>
  <c r="S12" i="2" s="1"/>
  <c r="O13" i="2"/>
  <c r="O17" i="2" s="1"/>
  <c r="E13" i="2"/>
  <c r="E17" i="2" s="1"/>
  <c r="F13" i="2"/>
  <c r="F17" i="2" s="1"/>
  <c r="G13" i="2"/>
  <c r="G17" i="2" s="1"/>
  <c r="H13" i="2"/>
  <c r="I13" i="2"/>
  <c r="I17" i="2" s="1"/>
  <c r="J13" i="2"/>
  <c r="J17" i="2" s="1"/>
  <c r="K13" i="2"/>
  <c r="L13" i="2"/>
  <c r="M13" i="2"/>
  <c r="M17" i="2" s="1"/>
  <c r="N13" i="2"/>
  <c r="N17" i="2" s="1"/>
  <c r="D13" i="2"/>
  <c r="D17" i="2" s="1"/>
  <c r="G25" i="2"/>
  <c r="H25" i="2"/>
  <c r="I25" i="2"/>
  <c r="J25" i="2"/>
  <c r="E16" i="2"/>
  <c r="J16" i="2"/>
  <c r="H17" i="2"/>
  <c r="K17" i="2"/>
  <c r="L12" i="2"/>
  <c r="M12" i="2"/>
  <c r="N12" i="2"/>
  <c r="N13" i="4" s="1"/>
  <c r="O12" i="2"/>
  <c r="O12" i="3" s="1"/>
  <c r="O16" i="3" s="1"/>
  <c r="F12" i="2"/>
  <c r="F12" i="3" s="1"/>
  <c r="F16" i="3" s="1"/>
  <c r="D12" i="2"/>
  <c r="D16" i="2" s="1"/>
  <c r="G14" i="2"/>
  <c r="G18" i="2" s="1"/>
  <c r="H8" i="2"/>
  <c r="H14" i="2" s="1"/>
  <c r="H18" i="2" s="1"/>
  <c r="D46" i="2"/>
  <c r="P6" i="2"/>
  <c r="P7" i="2"/>
  <c r="L17" i="2"/>
  <c r="D14" i="2"/>
  <c r="D18" i="2" s="1"/>
  <c r="E14" i="2"/>
  <c r="E18" i="2" s="1"/>
  <c r="D25" i="2"/>
  <c r="E25" i="2"/>
  <c r="F25" i="2"/>
  <c r="K25" i="2"/>
  <c r="L25" i="2"/>
  <c r="M25" i="2"/>
  <c r="N25" i="2"/>
  <c r="O25" i="2"/>
  <c r="D12" i="1"/>
  <c r="C12" i="1"/>
  <c r="D11" i="2" l="1"/>
  <c r="N16" i="2"/>
  <c r="N12" i="3"/>
  <c r="N16" i="3" s="1"/>
  <c r="O13" i="4"/>
  <c r="O19" i="4" s="1"/>
  <c r="E13" i="4"/>
  <c r="E19" i="4" s="1"/>
  <c r="O16" i="2"/>
  <c r="H8" i="3"/>
  <c r="H14" i="3" s="1"/>
  <c r="H18" i="3" s="1"/>
  <c r="J13" i="4"/>
  <c r="J19" i="4" s="1"/>
  <c r="S7" i="4"/>
  <c r="S14" i="4" s="1"/>
  <c r="S20" i="4" s="1"/>
  <c r="S8" i="4"/>
  <c r="I19" i="4"/>
  <c r="L13" i="4"/>
  <c r="L12" i="3"/>
  <c r="L16" i="3" s="1"/>
  <c r="S16" i="2"/>
  <c r="S13" i="4"/>
  <c r="S19" i="4" s="1"/>
  <c r="S12" i="3"/>
  <c r="S16" i="3" s="1"/>
  <c r="H16" i="2"/>
  <c r="H15" i="2" s="1"/>
  <c r="H37" i="2" s="1"/>
  <c r="H36" i="2" s="1"/>
  <c r="H11" i="2"/>
  <c r="H24" i="2" s="1"/>
  <c r="M16" i="2"/>
  <c r="M12" i="3"/>
  <c r="M16" i="3" s="1"/>
  <c r="M13" i="4"/>
  <c r="I12" i="3"/>
  <c r="I16" i="3" s="1"/>
  <c r="I16" i="2"/>
  <c r="H13" i="4"/>
  <c r="S6" i="4"/>
  <c r="E18" i="4"/>
  <c r="L16" i="2"/>
  <c r="Q13" i="4"/>
  <c r="Q19" i="4" s="1"/>
  <c r="Q16" i="2"/>
  <c r="I8" i="2"/>
  <c r="H8" i="4"/>
  <c r="H15" i="4" s="1"/>
  <c r="H21" i="4" s="1"/>
  <c r="G10" i="4"/>
  <c r="F17" i="4"/>
  <c r="F23" i="4" s="1"/>
  <c r="D12" i="3"/>
  <c r="D16" i="3" s="1"/>
  <c r="D13" i="4"/>
  <c r="D19" i="4" s="1"/>
  <c r="F13" i="4"/>
  <c r="F16" i="2"/>
  <c r="G11" i="2"/>
  <c r="G24" i="2" s="1"/>
  <c r="G13" i="4"/>
  <c r="G16" i="2"/>
  <c r="G15" i="2" s="1"/>
  <c r="G37" i="2" s="1"/>
  <c r="G36" i="2" s="1"/>
  <c r="K16" i="2"/>
  <c r="K13" i="4"/>
  <c r="N19" i="4"/>
  <c r="F9" i="4"/>
  <c r="R13" i="4"/>
  <c r="R19" i="4" s="1"/>
  <c r="D15" i="2"/>
  <c r="R12" i="3"/>
  <c r="R16" i="3" s="1"/>
  <c r="L13" i="3"/>
  <c r="L17" i="3" s="1"/>
  <c r="H13" i="3"/>
  <c r="H17" i="3" s="1"/>
  <c r="N13" i="3"/>
  <c r="N17" i="3" s="1"/>
  <c r="J13" i="3"/>
  <c r="J17" i="3" s="1"/>
  <c r="F13" i="3"/>
  <c r="F17" i="3" s="1"/>
  <c r="M13" i="3"/>
  <c r="G13" i="3"/>
  <c r="O13" i="3"/>
  <c r="K13" i="3"/>
  <c r="I13" i="3"/>
  <c r="E13" i="3"/>
  <c r="T7" i="2"/>
  <c r="T7" i="4" s="1"/>
  <c r="T14" i="4" s="1"/>
  <c r="T20" i="4" s="1"/>
  <c r="G23" i="2"/>
  <c r="G19" i="2" s="1"/>
  <c r="P25" i="2"/>
  <c r="F14" i="2"/>
  <c r="F18" i="2" s="1"/>
  <c r="E11" i="2"/>
  <c r="E23" i="2" s="1"/>
  <c r="E15" i="2"/>
  <c r="E37" i="2" s="1"/>
  <c r="E36" i="2" s="1"/>
  <c r="D23" i="2"/>
  <c r="D24" i="2"/>
  <c r="D37" i="2"/>
  <c r="D36" i="2" s="1"/>
  <c r="E24" i="4"/>
  <c r="Q23" i="4"/>
  <c r="D23" i="4"/>
  <c r="R16" i="4"/>
  <c r="R22" i="4" s="1"/>
  <c r="Q16" i="4"/>
  <c r="Q22" i="4" s="1"/>
  <c r="D16" i="4"/>
  <c r="D22" i="4" s="1"/>
  <c r="R10" i="4"/>
  <c r="S9" i="4"/>
  <c r="T9" i="4" s="1"/>
  <c r="U9" i="4" s="1"/>
  <c r="V9" i="4" s="1"/>
  <c r="W9" i="4" s="1"/>
  <c r="X9" i="4" s="1"/>
  <c r="Y9" i="4" s="1"/>
  <c r="Z9" i="4" s="1"/>
  <c r="Z16" i="4" s="1"/>
  <c r="Z22" i="4" s="1"/>
  <c r="S3" i="4"/>
  <c r="T3" i="4"/>
  <c r="U3" i="4"/>
  <c r="V3" i="4"/>
  <c r="W3" i="4"/>
  <c r="X3" i="4"/>
  <c r="Y3" i="4"/>
  <c r="Z3" i="4"/>
  <c r="AA3" i="4"/>
  <c r="AB3" i="4"/>
  <c r="R3" i="4"/>
  <c r="Q3" i="4"/>
  <c r="D21" i="4"/>
  <c r="D3" i="4"/>
  <c r="D53" i="4"/>
  <c r="C57" i="4" s="1"/>
  <c r="C58" i="4" s="1"/>
  <c r="AB31" i="4"/>
  <c r="AA31" i="4"/>
  <c r="Z31" i="4"/>
  <c r="Y31" i="4"/>
  <c r="X31" i="4"/>
  <c r="W31" i="4"/>
  <c r="V31" i="4"/>
  <c r="U31" i="4"/>
  <c r="T31" i="4"/>
  <c r="S31" i="4"/>
  <c r="R31" i="4"/>
  <c r="Q31" i="4"/>
  <c r="O31" i="4"/>
  <c r="N31" i="4"/>
  <c r="M31" i="4"/>
  <c r="L31" i="4"/>
  <c r="E31" i="4"/>
  <c r="D31" i="4"/>
  <c r="R26" i="3"/>
  <c r="S26" i="3"/>
  <c r="T26" i="3"/>
  <c r="U26" i="3"/>
  <c r="V26" i="3"/>
  <c r="W26" i="3"/>
  <c r="X26" i="3"/>
  <c r="Y26" i="3"/>
  <c r="Z26" i="3"/>
  <c r="AA26" i="3"/>
  <c r="AB26" i="3"/>
  <c r="Q26" i="3"/>
  <c r="E26" i="3"/>
  <c r="J26" i="3"/>
  <c r="K26" i="3"/>
  <c r="L26" i="3"/>
  <c r="M26" i="3"/>
  <c r="N26" i="3"/>
  <c r="O26" i="3"/>
  <c r="D26" i="3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D8" i="3"/>
  <c r="D14" i="3" s="1"/>
  <c r="D18" i="3" s="1"/>
  <c r="R6" i="3"/>
  <c r="S6" i="3"/>
  <c r="R7" i="3"/>
  <c r="R13" i="3" s="1"/>
  <c r="R17" i="3" s="1"/>
  <c r="S7" i="3"/>
  <c r="S13" i="3" s="1"/>
  <c r="S17" i="3" s="1"/>
  <c r="Z7" i="3"/>
  <c r="Z13" i="3" s="1"/>
  <c r="Z17" i="3" s="1"/>
  <c r="AA7" i="3"/>
  <c r="AA13" i="3" s="1"/>
  <c r="AA17" i="3" s="1"/>
  <c r="AB7" i="3"/>
  <c r="AB13" i="3" s="1"/>
  <c r="AB17" i="3" s="1"/>
  <c r="Q7" i="3"/>
  <c r="Q13" i="3" s="1"/>
  <c r="Q17" i="3" s="1"/>
  <c r="Q6" i="3"/>
  <c r="D6" i="3"/>
  <c r="Q3" i="3"/>
  <c r="R3" i="3"/>
  <c r="S3" i="3"/>
  <c r="T3" i="3"/>
  <c r="U3" i="3"/>
  <c r="V3" i="3"/>
  <c r="W3" i="3"/>
  <c r="X3" i="3"/>
  <c r="Y3" i="3"/>
  <c r="Z3" i="3"/>
  <c r="AA3" i="3"/>
  <c r="AB3" i="3"/>
  <c r="D3" i="3"/>
  <c r="D48" i="3"/>
  <c r="F11" i="2" l="1"/>
  <c r="F15" i="2"/>
  <c r="F37" i="2" s="1"/>
  <c r="F36" i="2" s="1"/>
  <c r="F11" i="3"/>
  <c r="O17" i="3"/>
  <c r="G38" i="2"/>
  <c r="L19" i="4"/>
  <c r="G9" i="4"/>
  <c r="F16" i="4"/>
  <c r="F22" i="4" s="1"/>
  <c r="E11" i="3"/>
  <c r="E24" i="3" s="1"/>
  <c r="E17" i="3"/>
  <c r="E15" i="3" s="1"/>
  <c r="E39" i="3" s="1"/>
  <c r="E38" i="3" s="1"/>
  <c r="F19" i="4"/>
  <c r="F12" i="4"/>
  <c r="F29" i="4" s="1"/>
  <c r="F25" i="4" s="1"/>
  <c r="I17" i="3"/>
  <c r="K19" i="4"/>
  <c r="M19" i="4"/>
  <c r="H11" i="3"/>
  <c r="H24" i="3" s="1"/>
  <c r="H20" i="3" s="1"/>
  <c r="G12" i="4"/>
  <c r="G29" i="4" s="1"/>
  <c r="G25" i="4" s="1"/>
  <c r="G19" i="4"/>
  <c r="Q24" i="4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C52" i="3"/>
  <c r="C53" i="3" s="1"/>
  <c r="G11" i="3"/>
  <c r="G24" i="3" s="1"/>
  <c r="G20" i="3" s="1"/>
  <c r="G17" i="3"/>
  <c r="H12" i="4"/>
  <c r="H29" i="4" s="1"/>
  <c r="H25" i="4" s="1"/>
  <c r="H19" i="4"/>
  <c r="S10" i="4"/>
  <c r="R17" i="4"/>
  <c r="M17" i="3"/>
  <c r="J8" i="2"/>
  <c r="I8" i="3"/>
  <c r="I14" i="3" s="1"/>
  <c r="I18" i="3" s="1"/>
  <c r="I14" i="2"/>
  <c r="I8" i="4"/>
  <c r="I15" i="4" s="1"/>
  <c r="E24" i="2"/>
  <c r="T7" i="3"/>
  <c r="T13" i="3" s="1"/>
  <c r="T17" i="3" s="1"/>
  <c r="H23" i="2"/>
  <c r="H19" i="2" s="1"/>
  <c r="K17" i="3"/>
  <c r="H10" i="4"/>
  <c r="G17" i="4"/>
  <c r="G23" i="4" s="1"/>
  <c r="H15" i="3"/>
  <c r="H39" i="3" s="1"/>
  <c r="H38" i="3" s="1"/>
  <c r="G15" i="3"/>
  <c r="G39" i="3" s="1"/>
  <c r="F25" i="3"/>
  <c r="F24" i="3"/>
  <c r="F15" i="3"/>
  <c r="P6" i="3"/>
  <c r="T13" i="2"/>
  <c r="T17" i="2" s="1"/>
  <c r="U7" i="2"/>
  <c r="U7" i="4" s="1"/>
  <c r="U14" i="4" s="1"/>
  <c r="U20" i="4" s="1"/>
  <c r="H38" i="2"/>
  <c r="D19" i="2"/>
  <c r="D38" i="2" s="1"/>
  <c r="P7" i="3"/>
  <c r="P6" i="4"/>
  <c r="E19" i="2"/>
  <c r="E38" i="2" s="1"/>
  <c r="D11" i="3"/>
  <c r="D18" i="4"/>
  <c r="D44" i="4" s="1"/>
  <c r="D43" i="4" s="1"/>
  <c r="AA9" i="4"/>
  <c r="X16" i="4"/>
  <c r="X22" i="4" s="1"/>
  <c r="V16" i="4"/>
  <c r="V22" i="4" s="1"/>
  <c r="T16" i="4"/>
  <c r="T22" i="4" s="1"/>
  <c r="R23" i="4"/>
  <c r="Y16" i="4"/>
  <c r="Y22" i="4" s="1"/>
  <c r="W16" i="4"/>
  <c r="W22" i="4" s="1"/>
  <c r="U16" i="4"/>
  <c r="U22" i="4" s="1"/>
  <c r="S16" i="4"/>
  <c r="S22" i="4" s="1"/>
  <c r="AC31" i="4"/>
  <c r="P31" i="4"/>
  <c r="P7" i="4"/>
  <c r="D12" i="4"/>
  <c r="D29" i="4" s="1"/>
  <c r="E12" i="4"/>
  <c r="AC26" i="3"/>
  <c r="D15" i="3"/>
  <c r="D39" i="3" s="1"/>
  <c r="D38" i="3" s="1"/>
  <c r="P26" i="3"/>
  <c r="Q25" i="2"/>
  <c r="R25" i="2"/>
  <c r="S25" i="2"/>
  <c r="T25" i="2"/>
  <c r="U25" i="2"/>
  <c r="V25" i="2"/>
  <c r="W25" i="2"/>
  <c r="X25" i="2"/>
  <c r="Y25" i="2"/>
  <c r="Z25" i="2"/>
  <c r="AA25" i="2"/>
  <c r="AB25" i="2"/>
  <c r="T6" i="2"/>
  <c r="F23" i="2" l="1"/>
  <c r="F19" i="2" s="1"/>
  <c r="F38" i="2" s="1"/>
  <c r="F24" i="2"/>
  <c r="E25" i="3"/>
  <c r="I15" i="3"/>
  <c r="F20" i="3"/>
  <c r="K8" i="2"/>
  <c r="J8" i="4"/>
  <c r="J15" i="4" s="1"/>
  <c r="J8" i="3"/>
  <c r="J14" i="3" s="1"/>
  <c r="J14" i="2"/>
  <c r="I18" i="2"/>
  <c r="I15" i="2" s="1"/>
  <c r="I37" i="2" s="1"/>
  <c r="I36" i="2" s="1"/>
  <c r="I11" i="2"/>
  <c r="H9" i="4"/>
  <c r="G16" i="4"/>
  <c r="G22" i="4" s="1"/>
  <c r="G18" i="4" s="1"/>
  <c r="I10" i="4"/>
  <c r="H17" i="4"/>
  <c r="H23" i="4" s="1"/>
  <c r="I11" i="3"/>
  <c r="I24" i="3" s="1"/>
  <c r="I20" i="3" s="1"/>
  <c r="T6" i="4"/>
  <c r="T12" i="2"/>
  <c r="T10" i="4"/>
  <c r="S17" i="4"/>
  <c r="S23" i="4" s="1"/>
  <c r="I21" i="4"/>
  <c r="I12" i="4"/>
  <c r="I29" i="4" s="1"/>
  <c r="I25" i="4" s="1"/>
  <c r="F18" i="4"/>
  <c r="G38" i="3"/>
  <c r="G40" i="3"/>
  <c r="F39" i="3"/>
  <c r="F38" i="3" s="1"/>
  <c r="D24" i="3"/>
  <c r="D25" i="3"/>
  <c r="H40" i="3"/>
  <c r="V7" i="2"/>
  <c r="V7" i="4" s="1"/>
  <c r="V14" i="4" s="1"/>
  <c r="V20" i="4" s="1"/>
  <c r="U13" i="2"/>
  <c r="U17" i="2" s="1"/>
  <c r="U7" i="3"/>
  <c r="U13" i="3" s="1"/>
  <c r="U17" i="3" s="1"/>
  <c r="E44" i="4"/>
  <c r="E43" i="4" s="1"/>
  <c r="AA16" i="4"/>
  <c r="AA22" i="4" s="1"/>
  <c r="AB9" i="4"/>
  <c r="AB16" i="4" s="1"/>
  <c r="AB22" i="4" s="1"/>
  <c r="AC9" i="4"/>
  <c r="U6" i="2"/>
  <c r="T6" i="3"/>
  <c r="AC25" i="2"/>
  <c r="C50" i="2"/>
  <c r="E29" i="4"/>
  <c r="E25" i="4" s="1"/>
  <c r="D25" i="4"/>
  <c r="E20" i="3"/>
  <c r="E40" i="3" s="1"/>
  <c r="D50" i="2" l="1"/>
  <c r="C51" i="2"/>
  <c r="I39" i="3"/>
  <c r="I38" i="3" s="1"/>
  <c r="I40" i="3"/>
  <c r="G44" i="4"/>
  <c r="G43" i="4" s="1"/>
  <c r="G45" i="4"/>
  <c r="J18" i="3"/>
  <c r="J15" i="3" s="1"/>
  <c r="J39" i="3" s="1"/>
  <c r="J38" i="3" s="1"/>
  <c r="J11" i="3"/>
  <c r="J21" i="4"/>
  <c r="J12" i="4"/>
  <c r="J29" i="4" s="1"/>
  <c r="J25" i="4" s="1"/>
  <c r="T13" i="4"/>
  <c r="T19" i="4" s="1"/>
  <c r="T12" i="3"/>
  <c r="T16" i="3" s="1"/>
  <c r="J10" i="4"/>
  <c r="I17" i="4"/>
  <c r="I23" i="4" s="1"/>
  <c r="K8" i="4"/>
  <c r="K15" i="4" s="1"/>
  <c r="K8" i="3"/>
  <c r="K14" i="3" s="1"/>
  <c r="K14" i="2"/>
  <c r="L8" i="2"/>
  <c r="T17" i="4"/>
  <c r="T23" i="4" s="1"/>
  <c r="U10" i="4"/>
  <c r="D20" i="3"/>
  <c r="D40" i="3" s="1"/>
  <c r="D52" i="3" s="1"/>
  <c r="D53" i="3" s="1"/>
  <c r="J18" i="2"/>
  <c r="J15" i="2" s="1"/>
  <c r="J11" i="2"/>
  <c r="U6" i="4"/>
  <c r="U12" i="2"/>
  <c r="F44" i="4"/>
  <c r="F43" i="4" s="1"/>
  <c r="T16" i="2"/>
  <c r="I9" i="4"/>
  <c r="H16" i="4"/>
  <c r="H22" i="4" s="1"/>
  <c r="H18" i="4" s="1"/>
  <c r="I24" i="2"/>
  <c r="I23" i="2"/>
  <c r="F40" i="3"/>
  <c r="W7" i="2"/>
  <c r="W7" i="4" s="1"/>
  <c r="W14" i="4" s="1"/>
  <c r="W20" i="4" s="1"/>
  <c r="V13" i="2"/>
  <c r="V17" i="2" s="1"/>
  <c r="V7" i="3"/>
  <c r="V13" i="3" s="1"/>
  <c r="V17" i="3" s="1"/>
  <c r="E45" i="4"/>
  <c r="V6" i="2"/>
  <c r="U6" i="3"/>
  <c r="D45" i="4"/>
  <c r="J24" i="3"/>
  <c r="E52" i="3" l="1"/>
  <c r="E53" i="3" s="1"/>
  <c r="I19" i="2"/>
  <c r="I38" i="2" s="1"/>
  <c r="E50" i="2"/>
  <c r="D51" i="2"/>
  <c r="F45" i="4"/>
  <c r="L8" i="4"/>
  <c r="L15" i="4" s="1"/>
  <c r="L8" i="3"/>
  <c r="L14" i="3" s="1"/>
  <c r="M8" i="2"/>
  <c r="L14" i="2"/>
  <c r="V6" i="4"/>
  <c r="V12" i="2"/>
  <c r="V16" i="2" s="1"/>
  <c r="K18" i="3"/>
  <c r="K15" i="3" s="1"/>
  <c r="K39" i="3" s="1"/>
  <c r="K38" i="3" s="1"/>
  <c r="K11" i="3"/>
  <c r="K24" i="3" s="1"/>
  <c r="J9" i="4"/>
  <c r="I16" i="4"/>
  <c r="I22" i="4" s="1"/>
  <c r="I18" i="4" s="1"/>
  <c r="J37" i="2"/>
  <c r="J36" i="2" s="1"/>
  <c r="K21" i="4"/>
  <c r="K12" i="4"/>
  <c r="K29" i="4" s="1"/>
  <c r="K25" i="4" s="1"/>
  <c r="U13" i="4"/>
  <c r="U19" i="4" s="1"/>
  <c r="U12" i="3"/>
  <c r="U16" i="3" s="1"/>
  <c r="U16" i="2"/>
  <c r="K18" i="2"/>
  <c r="K15" i="2" s="1"/>
  <c r="K37" i="2" s="1"/>
  <c r="K36" i="2" s="1"/>
  <c r="K11" i="2"/>
  <c r="H44" i="4"/>
  <c r="H43" i="4" s="1"/>
  <c r="J24" i="2"/>
  <c r="J23" i="2"/>
  <c r="U17" i="4"/>
  <c r="U23" i="4" s="1"/>
  <c r="V10" i="4"/>
  <c r="K10" i="4"/>
  <c r="J17" i="4"/>
  <c r="J23" i="4" s="1"/>
  <c r="F52" i="3"/>
  <c r="X7" i="2"/>
  <c r="X7" i="4" s="1"/>
  <c r="X14" i="4" s="1"/>
  <c r="X20" i="4" s="1"/>
  <c r="W7" i="3"/>
  <c r="W13" i="3" s="1"/>
  <c r="W17" i="3" s="1"/>
  <c r="W13" i="2"/>
  <c r="W17" i="2" s="1"/>
  <c r="W6" i="2"/>
  <c r="V6" i="3"/>
  <c r="D57" i="4"/>
  <c r="D58" i="4" s="1"/>
  <c r="J20" i="3"/>
  <c r="J40" i="3" s="1"/>
  <c r="F50" i="2" l="1"/>
  <c r="E51" i="2"/>
  <c r="G52" i="3"/>
  <c r="F53" i="3"/>
  <c r="E57" i="4"/>
  <c r="E58" i="4" s="1"/>
  <c r="L10" i="4"/>
  <c r="K17" i="4"/>
  <c r="K23" i="4" s="1"/>
  <c r="L21" i="4"/>
  <c r="L12" i="4"/>
  <c r="K23" i="2"/>
  <c r="K24" i="2"/>
  <c r="W6" i="4"/>
  <c r="W12" i="2"/>
  <c r="W16" i="2" s="1"/>
  <c r="I44" i="4"/>
  <c r="I43" i="4" s="1"/>
  <c r="L18" i="2"/>
  <c r="L15" i="2" s="1"/>
  <c r="L37" i="2" s="1"/>
  <c r="L36" i="2" s="1"/>
  <c r="L11" i="2"/>
  <c r="V13" i="4"/>
  <c r="V19" i="4" s="1"/>
  <c r="V12" i="3"/>
  <c r="V16" i="3" s="1"/>
  <c r="K9" i="4"/>
  <c r="J16" i="4"/>
  <c r="J22" i="4" s="1"/>
  <c r="J18" i="4" s="1"/>
  <c r="M8" i="3"/>
  <c r="M14" i="3" s="1"/>
  <c r="M8" i="4"/>
  <c r="M15" i="4" s="1"/>
  <c r="M14" i="2"/>
  <c r="N8" i="2"/>
  <c r="H45" i="4"/>
  <c r="V23" i="4"/>
  <c r="V17" i="4"/>
  <c r="W10" i="4"/>
  <c r="J19" i="2"/>
  <c r="J38" i="2" s="1"/>
  <c r="L18" i="3"/>
  <c r="L15" i="3" s="1"/>
  <c r="L11" i="3"/>
  <c r="Y7" i="2"/>
  <c r="Y7" i="4" s="1"/>
  <c r="Y14" i="4" s="1"/>
  <c r="Y20" i="4" s="1"/>
  <c r="X13" i="2"/>
  <c r="X17" i="2" s="1"/>
  <c r="X7" i="3"/>
  <c r="X13" i="3" s="1"/>
  <c r="X17" i="3" s="1"/>
  <c r="X6" i="2"/>
  <c r="W6" i="3"/>
  <c r="K20" i="3"/>
  <c r="K40" i="3" s="1"/>
  <c r="L39" i="3"/>
  <c r="L38" i="3" s="1"/>
  <c r="L24" i="3"/>
  <c r="K19" i="2" l="1"/>
  <c r="K38" i="2" s="1"/>
  <c r="G50" i="2"/>
  <c r="F51" i="2"/>
  <c r="H52" i="3"/>
  <c r="G53" i="3"/>
  <c r="F57" i="4"/>
  <c r="F58" i="4" s="1"/>
  <c r="I45" i="4"/>
  <c r="M18" i="2"/>
  <c r="M15" i="2" s="1"/>
  <c r="M37" i="2" s="1"/>
  <c r="M36" i="2" s="1"/>
  <c r="M11" i="2"/>
  <c r="L9" i="4"/>
  <c r="K16" i="4"/>
  <c r="K22" i="4" s="1"/>
  <c r="K18" i="4" s="1"/>
  <c r="M21" i="4"/>
  <c r="M12" i="4"/>
  <c r="M29" i="4" s="1"/>
  <c r="N8" i="4"/>
  <c r="N15" i="4" s="1"/>
  <c r="N8" i="3"/>
  <c r="N14" i="3" s="1"/>
  <c r="N14" i="2"/>
  <c r="O8" i="2"/>
  <c r="P8" i="2" s="1"/>
  <c r="L23" i="2"/>
  <c r="L19" i="2" s="1"/>
  <c r="L38" i="2" s="1"/>
  <c r="L24" i="2"/>
  <c r="X12" i="2"/>
  <c r="X6" i="4"/>
  <c r="W17" i="4"/>
  <c r="W23" i="4" s="1"/>
  <c r="X10" i="4"/>
  <c r="M18" i="3"/>
  <c r="M15" i="3" s="1"/>
  <c r="M11" i="3"/>
  <c r="M24" i="3" s="1"/>
  <c r="J44" i="4"/>
  <c r="J43" i="4" s="1"/>
  <c r="W12" i="3"/>
  <c r="W16" i="3" s="1"/>
  <c r="W13" i="4"/>
  <c r="W19" i="4" s="1"/>
  <c r="M10" i="4"/>
  <c r="L17" i="4"/>
  <c r="L23" i="4" s="1"/>
  <c r="Y13" i="2"/>
  <c r="Y17" i="2" s="1"/>
  <c r="Y7" i="3"/>
  <c r="Y13" i="3" s="1"/>
  <c r="Y17" i="3" s="1"/>
  <c r="AC7" i="4"/>
  <c r="AC7" i="2"/>
  <c r="Y6" i="2"/>
  <c r="X6" i="3"/>
  <c r="Q8" i="3"/>
  <c r="Q14" i="3" s="1"/>
  <c r="Q18" i="3" s="1"/>
  <c r="Q14" i="2"/>
  <c r="Q18" i="2" s="1"/>
  <c r="M39" i="3"/>
  <c r="M38" i="3" s="1"/>
  <c r="L20" i="3"/>
  <c r="L40" i="3" s="1"/>
  <c r="J45" i="4" l="1"/>
  <c r="H50" i="2"/>
  <c r="G51" i="2"/>
  <c r="I52" i="3"/>
  <c r="H53" i="3"/>
  <c r="G57" i="4"/>
  <c r="G58" i="4" s="1"/>
  <c r="O8" i="4"/>
  <c r="O8" i="3"/>
  <c r="O14" i="3" s="1"/>
  <c r="O14" i="2"/>
  <c r="M9" i="4"/>
  <c r="L16" i="4"/>
  <c r="L22" i="4" s="1"/>
  <c r="L18" i="4" s="1"/>
  <c r="L44" i="4" s="1"/>
  <c r="L43" i="4" s="1"/>
  <c r="X17" i="4"/>
  <c r="X23" i="4" s="1"/>
  <c r="Y10" i="4"/>
  <c r="N10" i="4"/>
  <c r="M17" i="4"/>
  <c r="M23" i="4" s="1"/>
  <c r="M25" i="4"/>
  <c r="Y6" i="4"/>
  <c r="Y12" i="2"/>
  <c r="N18" i="3"/>
  <c r="N15" i="3" s="1"/>
  <c r="N39" i="3" s="1"/>
  <c r="N38" i="3" s="1"/>
  <c r="N11" i="3"/>
  <c r="N24" i="3" s="1"/>
  <c r="N18" i="2"/>
  <c r="N15" i="2" s="1"/>
  <c r="N11" i="2"/>
  <c r="X12" i="3"/>
  <c r="X16" i="3" s="1"/>
  <c r="X13" i="4"/>
  <c r="X19" i="4" s="1"/>
  <c r="N21" i="4"/>
  <c r="N12" i="4"/>
  <c r="N29" i="4" s="1"/>
  <c r="N25" i="4" s="1"/>
  <c r="K44" i="4"/>
  <c r="K43" i="4" s="1"/>
  <c r="K45" i="4"/>
  <c r="M23" i="2"/>
  <c r="M24" i="2"/>
  <c r="P8" i="3"/>
  <c r="X16" i="2"/>
  <c r="AC7" i="3"/>
  <c r="Q11" i="2"/>
  <c r="Q15" i="2"/>
  <c r="R15" i="4"/>
  <c r="R8" i="3"/>
  <c r="R14" i="3" s="1"/>
  <c r="R18" i="3" s="1"/>
  <c r="Z6" i="2"/>
  <c r="Y6" i="3"/>
  <c r="Q15" i="4"/>
  <c r="L29" i="4"/>
  <c r="L25" i="4" s="1"/>
  <c r="Q19" i="3"/>
  <c r="R19" i="3" s="1"/>
  <c r="S19" i="3" s="1"/>
  <c r="T19" i="3" s="1"/>
  <c r="U19" i="3" s="1"/>
  <c r="V19" i="3" s="1"/>
  <c r="W19" i="3" s="1"/>
  <c r="X19" i="3" s="1"/>
  <c r="Y19" i="3" s="1"/>
  <c r="Z19" i="3" s="1"/>
  <c r="M20" i="3"/>
  <c r="M40" i="3" s="1"/>
  <c r="H51" i="2" l="1"/>
  <c r="I50" i="2"/>
  <c r="I53" i="3"/>
  <c r="J52" i="3"/>
  <c r="H57" i="4"/>
  <c r="H58" i="4" s="1"/>
  <c r="O18" i="3"/>
  <c r="O15" i="3" s="1"/>
  <c r="O11" i="3"/>
  <c r="P11" i="3" s="1"/>
  <c r="O10" i="4"/>
  <c r="O17" i="4" s="1"/>
  <c r="O23" i="4" s="1"/>
  <c r="N17" i="4"/>
  <c r="N23" i="4" s="1"/>
  <c r="P10" i="4"/>
  <c r="O15" i="4"/>
  <c r="P8" i="4"/>
  <c r="N9" i="4"/>
  <c r="M16" i="4"/>
  <c r="M22" i="4" s="1"/>
  <c r="M18" i="4" s="1"/>
  <c r="Y17" i="4"/>
  <c r="Y23" i="4" s="1"/>
  <c r="Z10" i="4"/>
  <c r="M19" i="2"/>
  <c r="M38" i="2" s="1"/>
  <c r="Z12" i="2"/>
  <c r="Z6" i="4"/>
  <c r="N23" i="2"/>
  <c r="N24" i="2"/>
  <c r="O18" i="2"/>
  <c r="O15" i="2" s="1"/>
  <c r="O37" i="2" s="1"/>
  <c r="O36" i="2" s="1"/>
  <c r="O11" i="2"/>
  <c r="Y13" i="4"/>
  <c r="Y19" i="4" s="1"/>
  <c r="Y12" i="3"/>
  <c r="Y16" i="3" s="1"/>
  <c r="N37" i="2"/>
  <c r="N36" i="2" s="1"/>
  <c r="Y16" i="2"/>
  <c r="R15" i="2"/>
  <c r="R11" i="2"/>
  <c r="Q23" i="2"/>
  <c r="Q24" i="2"/>
  <c r="Q21" i="4"/>
  <c r="Q18" i="4" s="1"/>
  <c r="Q12" i="4"/>
  <c r="AA12" i="2"/>
  <c r="Z6" i="3"/>
  <c r="L45" i="4"/>
  <c r="T8" i="2"/>
  <c r="S8" i="3"/>
  <c r="S14" i="3" s="1"/>
  <c r="S18" i="3" s="1"/>
  <c r="R21" i="4"/>
  <c r="R18" i="4" s="1"/>
  <c r="R12" i="4"/>
  <c r="Q37" i="2"/>
  <c r="Q36" i="2" s="1"/>
  <c r="Q15" i="3"/>
  <c r="N20" i="3"/>
  <c r="N40" i="3" s="1"/>
  <c r="Q11" i="3"/>
  <c r="O39" i="3"/>
  <c r="O38" i="3" s="1"/>
  <c r="P38" i="3" s="1"/>
  <c r="P15" i="3"/>
  <c r="O24" i="3"/>
  <c r="P36" i="2" l="1"/>
  <c r="I51" i="2"/>
  <c r="J50" i="2"/>
  <c r="J53" i="3"/>
  <c r="K52" i="3"/>
  <c r="I57" i="4"/>
  <c r="I58" i="4" s="1"/>
  <c r="O21" i="4"/>
  <c r="O12" i="4"/>
  <c r="Z16" i="2"/>
  <c r="Z12" i="3"/>
  <c r="Z16" i="3" s="1"/>
  <c r="Z13" i="4"/>
  <c r="Z19" i="4" s="1"/>
  <c r="T14" i="2"/>
  <c r="T18" i="2" s="1"/>
  <c r="T8" i="4"/>
  <c r="T15" i="4" s="1"/>
  <c r="Z17" i="4"/>
  <c r="Z23" i="4" s="1"/>
  <c r="AA10" i="4"/>
  <c r="N19" i="2"/>
  <c r="N38" i="2" s="1"/>
  <c r="M44" i="4"/>
  <c r="M43" i="4" s="1"/>
  <c r="O23" i="2"/>
  <c r="O24" i="2"/>
  <c r="AA13" i="4"/>
  <c r="AA19" i="4" s="1"/>
  <c r="AA16" i="2"/>
  <c r="AA12" i="3"/>
  <c r="AA16" i="3" s="1"/>
  <c r="P15" i="2"/>
  <c r="P11" i="2"/>
  <c r="O9" i="4"/>
  <c r="N16" i="4"/>
  <c r="N22" i="4" s="1"/>
  <c r="N18" i="4" s="1"/>
  <c r="R44" i="4"/>
  <c r="R43" i="4" s="1"/>
  <c r="S15" i="2"/>
  <c r="S11" i="2"/>
  <c r="S15" i="4"/>
  <c r="Q29" i="4"/>
  <c r="Q25" i="4" s="1"/>
  <c r="Q19" i="2"/>
  <c r="R37" i="2"/>
  <c r="R36" i="2" s="1"/>
  <c r="R29" i="4"/>
  <c r="R25" i="4" s="1"/>
  <c r="T8" i="3"/>
  <c r="T14" i="3" s="1"/>
  <c r="T18" i="3" s="1"/>
  <c r="AB12" i="2"/>
  <c r="AA6" i="3"/>
  <c r="Q44" i="4"/>
  <c r="Q43" i="4" s="1"/>
  <c r="R23" i="2"/>
  <c r="R24" i="2"/>
  <c r="R15" i="3"/>
  <c r="O20" i="3"/>
  <c r="P20" i="3" s="1"/>
  <c r="Q39" i="3"/>
  <c r="Q38" i="3" s="1"/>
  <c r="R11" i="3"/>
  <c r="Q24" i="3"/>
  <c r="M45" i="4" l="1"/>
  <c r="J51" i="2"/>
  <c r="K50" i="2"/>
  <c r="K53" i="3"/>
  <c r="L52" i="3"/>
  <c r="J57" i="4"/>
  <c r="J58" i="4" s="1"/>
  <c r="AA17" i="4"/>
  <c r="AA23" i="4" s="1"/>
  <c r="AB10" i="4"/>
  <c r="O29" i="4"/>
  <c r="O25" i="4" s="1"/>
  <c r="P25" i="4" s="1"/>
  <c r="P12" i="4"/>
  <c r="O19" i="2"/>
  <c r="O18" i="4"/>
  <c r="N44" i="4"/>
  <c r="N43" i="4" s="1"/>
  <c r="AB16" i="2"/>
  <c r="AB13" i="4"/>
  <c r="AB19" i="4" s="1"/>
  <c r="AB12" i="3"/>
  <c r="AB16" i="3" s="1"/>
  <c r="O16" i="4"/>
  <c r="O22" i="4" s="1"/>
  <c r="P9" i="4"/>
  <c r="R45" i="4"/>
  <c r="Q45" i="4"/>
  <c r="U15" i="4"/>
  <c r="U8" i="3"/>
  <c r="U14" i="3" s="1"/>
  <c r="U18" i="3" s="1"/>
  <c r="V8" i="2"/>
  <c r="R19" i="2"/>
  <c r="R38" i="2" s="1"/>
  <c r="T15" i="2"/>
  <c r="T11" i="2"/>
  <c r="S23" i="2"/>
  <c r="S24" i="2"/>
  <c r="AC6" i="4"/>
  <c r="AB6" i="3"/>
  <c r="AC6" i="3" s="1"/>
  <c r="AC6" i="2"/>
  <c r="T21" i="4"/>
  <c r="T18" i="4" s="1"/>
  <c r="T12" i="4"/>
  <c r="Q38" i="2"/>
  <c r="S21" i="4"/>
  <c r="S18" i="4" s="1"/>
  <c r="S12" i="4"/>
  <c r="S37" i="2"/>
  <c r="S36" i="2" s="1"/>
  <c r="S15" i="3"/>
  <c r="O40" i="3"/>
  <c r="P40" i="3" s="1"/>
  <c r="D50" i="3" s="1"/>
  <c r="Q20" i="3"/>
  <c r="Q40" i="3" s="1"/>
  <c r="S11" i="3"/>
  <c r="R24" i="3"/>
  <c r="R39" i="3"/>
  <c r="R38" i="3" s="1"/>
  <c r="K51" i="2" l="1"/>
  <c r="L50" i="2"/>
  <c r="N45" i="4"/>
  <c r="L53" i="3"/>
  <c r="M52" i="3"/>
  <c r="K57" i="4"/>
  <c r="K58" i="4" s="1"/>
  <c r="AB17" i="4"/>
  <c r="AB23" i="4" s="1"/>
  <c r="AC10" i="4"/>
  <c r="O44" i="4"/>
  <c r="O43" i="4" s="1"/>
  <c r="P43" i="4" s="1"/>
  <c r="O45" i="4"/>
  <c r="P18" i="4"/>
  <c r="V14" i="2"/>
  <c r="V18" i="2" s="1"/>
  <c r="V8" i="4"/>
  <c r="O38" i="2"/>
  <c r="P19" i="2"/>
  <c r="S19" i="2"/>
  <c r="S38" i="2" s="1"/>
  <c r="S44" i="4"/>
  <c r="S43" i="4" s="1"/>
  <c r="T29" i="4"/>
  <c r="T25" i="4" s="1"/>
  <c r="T37" i="2"/>
  <c r="T36" i="2" s="1"/>
  <c r="V8" i="3"/>
  <c r="V14" i="3" s="1"/>
  <c r="V18" i="3" s="1"/>
  <c r="W8" i="2"/>
  <c r="U21" i="4"/>
  <c r="U18" i="4" s="1"/>
  <c r="U44" i="4" s="1"/>
  <c r="U43" i="4" s="1"/>
  <c r="U12" i="4"/>
  <c r="S29" i="4"/>
  <c r="S25" i="4" s="1"/>
  <c r="T44" i="4"/>
  <c r="T43" i="4" s="1"/>
  <c r="T23" i="2"/>
  <c r="T24" i="2"/>
  <c r="U11" i="2"/>
  <c r="U15" i="2"/>
  <c r="T15" i="3"/>
  <c r="R20" i="3"/>
  <c r="R40" i="3" s="1"/>
  <c r="S24" i="3"/>
  <c r="T11" i="3"/>
  <c r="S39" i="3"/>
  <c r="S38" i="3" s="1"/>
  <c r="L51" i="2" l="1"/>
  <c r="M50" i="2"/>
  <c r="M53" i="3"/>
  <c r="N52" i="3"/>
  <c r="L57" i="4"/>
  <c r="L58" i="4" s="1"/>
  <c r="W14" i="2"/>
  <c r="W18" i="2" s="1"/>
  <c r="W8" i="4"/>
  <c r="W15" i="4" s="1"/>
  <c r="P45" i="4"/>
  <c r="D55" i="4" s="1"/>
  <c r="P38" i="2"/>
  <c r="D48" i="2" s="1"/>
  <c r="T45" i="4"/>
  <c r="U37" i="2"/>
  <c r="U36" i="2" s="1"/>
  <c r="W8" i="3"/>
  <c r="W14" i="3" s="1"/>
  <c r="W18" i="3" s="1"/>
  <c r="X8" i="2"/>
  <c r="V15" i="4"/>
  <c r="U23" i="2"/>
  <c r="U24" i="2"/>
  <c r="T19" i="2"/>
  <c r="U29" i="4"/>
  <c r="U25" i="4" s="1"/>
  <c r="U45" i="4" s="1"/>
  <c r="V15" i="2"/>
  <c r="V11" i="2"/>
  <c r="V23" i="2" s="1"/>
  <c r="V19" i="2" s="1"/>
  <c r="S45" i="4"/>
  <c r="U15" i="3"/>
  <c r="S20" i="3"/>
  <c r="S40" i="3" s="1"/>
  <c r="T24" i="3"/>
  <c r="T39" i="3"/>
  <c r="T38" i="3" s="1"/>
  <c r="U11" i="3"/>
  <c r="M51" i="2" l="1"/>
  <c r="N50" i="2"/>
  <c r="N53" i="3"/>
  <c r="O52" i="3"/>
  <c r="M57" i="4"/>
  <c r="M58" i="4" s="1"/>
  <c r="X14" i="2"/>
  <c r="X18" i="2" s="1"/>
  <c r="X8" i="4"/>
  <c r="U19" i="2"/>
  <c r="U38" i="2" s="1"/>
  <c r="V37" i="2"/>
  <c r="V36" i="2" s="1"/>
  <c r="W11" i="2"/>
  <c r="W23" i="2" s="1"/>
  <c r="W19" i="2" s="1"/>
  <c r="W15" i="2"/>
  <c r="W21" i="4"/>
  <c r="W18" i="4" s="1"/>
  <c r="W12" i="4"/>
  <c r="T38" i="2"/>
  <c r="V21" i="4"/>
  <c r="V18" i="4" s="1"/>
  <c r="V12" i="4"/>
  <c r="X8" i="3"/>
  <c r="X14" i="3" s="1"/>
  <c r="X18" i="3" s="1"/>
  <c r="Y8" i="2"/>
  <c r="V15" i="3"/>
  <c r="U24" i="3"/>
  <c r="T20" i="3"/>
  <c r="T40" i="3" s="1"/>
  <c r="U39" i="3"/>
  <c r="U38" i="3" s="1"/>
  <c r="V11" i="3"/>
  <c r="V24" i="3" s="1"/>
  <c r="V20" i="3" s="1"/>
  <c r="N51" i="2" l="1"/>
  <c r="O50" i="2"/>
  <c r="Q48" i="3"/>
  <c r="O53" i="3"/>
  <c r="Q52" i="3"/>
  <c r="N57" i="4"/>
  <c r="N58" i="4" s="1"/>
  <c r="Y14" i="2"/>
  <c r="Y18" i="2" s="1"/>
  <c r="Y8" i="4"/>
  <c r="Y15" i="4" s="1"/>
  <c r="V38" i="2"/>
  <c r="Y8" i="3"/>
  <c r="Y14" i="3" s="1"/>
  <c r="Y18" i="3" s="1"/>
  <c r="Z8" i="2"/>
  <c r="X15" i="4"/>
  <c r="V44" i="4"/>
  <c r="V43" i="4" s="1"/>
  <c r="W44" i="4"/>
  <c r="W43" i="4" s="1"/>
  <c r="X15" i="2"/>
  <c r="X11" i="2"/>
  <c r="X23" i="2" s="1"/>
  <c r="X19" i="2" s="1"/>
  <c r="V29" i="4"/>
  <c r="V25" i="4" s="1"/>
  <c r="V45" i="4" s="1"/>
  <c r="W29" i="4"/>
  <c r="W25" i="4" s="1"/>
  <c r="W37" i="2"/>
  <c r="W36" i="2" s="1"/>
  <c r="W15" i="3"/>
  <c r="V39" i="3"/>
  <c r="V38" i="3" s="1"/>
  <c r="W11" i="3"/>
  <c r="U20" i="3"/>
  <c r="U40" i="3" s="1"/>
  <c r="O51" i="2" l="1"/>
  <c r="Q46" i="2"/>
  <c r="Q50" i="2"/>
  <c r="R52" i="3"/>
  <c r="Q53" i="3"/>
  <c r="O57" i="4"/>
  <c r="O58" i="4" s="1"/>
  <c r="Z14" i="2"/>
  <c r="Z18" i="2" s="1"/>
  <c r="Z8" i="4"/>
  <c r="W45" i="4"/>
  <c r="W38" i="2"/>
  <c r="X37" i="2"/>
  <c r="X36" i="2" s="1"/>
  <c r="X21" i="4"/>
  <c r="X18" i="4" s="1"/>
  <c r="X12" i="4"/>
  <c r="Y15" i="2"/>
  <c r="Y11" i="2"/>
  <c r="Y23" i="2" s="1"/>
  <c r="Y19" i="2" s="1"/>
  <c r="Z15" i="4"/>
  <c r="Z8" i="3"/>
  <c r="Z14" i="3" s="1"/>
  <c r="Z18" i="3" s="1"/>
  <c r="AA8" i="2"/>
  <c r="Y21" i="4"/>
  <c r="Y18" i="4" s="1"/>
  <c r="Y44" i="4" s="1"/>
  <c r="Y43" i="4" s="1"/>
  <c r="Y12" i="4"/>
  <c r="X15" i="3"/>
  <c r="V40" i="3"/>
  <c r="X11" i="3"/>
  <c r="X24" i="3" s="1"/>
  <c r="X20" i="3" s="1"/>
  <c r="W24" i="3"/>
  <c r="W20" i="3" s="1"/>
  <c r="W39" i="3"/>
  <c r="W38" i="3" s="1"/>
  <c r="B12" i="1"/>
  <c r="R50" i="2" l="1"/>
  <c r="Q51" i="2"/>
  <c r="R53" i="3"/>
  <c r="S52" i="3"/>
  <c r="Q57" i="4"/>
  <c r="Q58" i="4" s="1"/>
  <c r="Q53" i="4"/>
  <c r="AA14" i="2"/>
  <c r="AA18" i="2" s="1"/>
  <c r="AA8" i="4"/>
  <c r="X38" i="2"/>
  <c r="Y29" i="4"/>
  <c r="Y25" i="4" s="1"/>
  <c r="Y45" i="4" s="1"/>
  <c r="AA15" i="4"/>
  <c r="AA8" i="3"/>
  <c r="AA14" i="3" s="1"/>
  <c r="AA18" i="3" s="1"/>
  <c r="AB8" i="2"/>
  <c r="Y37" i="2"/>
  <c r="Y36" i="2" s="1"/>
  <c r="X44" i="4"/>
  <c r="X43" i="4" s="1"/>
  <c r="Z11" i="2"/>
  <c r="Z23" i="2" s="1"/>
  <c r="Z19" i="2" s="1"/>
  <c r="Z15" i="2"/>
  <c r="Z21" i="4"/>
  <c r="Z18" i="4" s="1"/>
  <c r="Z12" i="4"/>
  <c r="X29" i="4"/>
  <c r="X25" i="4" s="1"/>
  <c r="Y15" i="3"/>
  <c r="W40" i="3"/>
  <c r="Y11" i="3"/>
  <c r="Y24" i="3" s="1"/>
  <c r="Y20" i="3" s="1"/>
  <c r="X39" i="3"/>
  <c r="X38" i="3" s="1"/>
  <c r="S50" i="2" l="1"/>
  <c r="R51" i="2"/>
  <c r="S53" i="3"/>
  <c r="T52" i="3"/>
  <c r="R57" i="4"/>
  <c r="R58" i="4" s="1"/>
  <c r="AB14" i="2"/>
  <c r="AB18" i="2" s="1"/>
  <c r="AB8" i="4"/>
  <c r="X45" i="4"/>
  <c r="Z44" i="4"/>
  <c r="Z43" i="4" s="1"/>
  <c r="Y38" i="2"/>
  <c r="AA15" i="2"/>
  <c r="AA11" i="2"/>
  <c r="AA23" i="2" s="1"/>
  <c r="AA19" i="2" s="1"/>
  <c r="Z29" i="4"/>
  <c r="Z25" i="4" s="1"/>
  <c r="Z37" i="2"/>
  <c r="Z36" i="2" s="1"/>
  <c r="AB8" i="3"/>
  <c r="AB14" i="3" s="1"/>
  <c r="AB18" i="3" s="1"/>
  <c r="AC8" i="2"/>
  <c r="AA21" i="4"/>
  <c r="AA18" i="4" s="1"/>
  <c r="AA12" i="4"/>
  <c r="AA19" i="3"/>
  <c r="Z15" i="3"/>
  <c r="X40" i="3"/>
  <c r="Y39" i="3"/>
  <c r="Y38" i="3" s="1"/>
  <c r="Z11" i="3"/>
  <c r="Z24" i="3" s="1"/>
  <c r="Z20" i="3" s="1"/>
  <c r="S51" i="2" l="1"/>
  <c r="T50" i="2"/>
  <c r="T53" i="3"/>
  <c r="U52" i="3"/>
  <c r="S57" i="4"/>
  <c r="S58" i="4" s="1"/>
  <c r="Z45" i="4"/>
  <c r="Z38" i="2"/>
  <c r="AA29" i="4"/>
  <c r="AA25" i="4" s="1"/>
  <c r="AB15" i="4"/>
  <c r="AC8" i="4"/>
  <c r="Y40" i="3"/>
  <c r="AA37" i="2"/>
  <c r="AA36" i="2" s="1"/>
  <c r="AA44" i="4"/>
  <c r="AA43" i="4" s="1"/>
  <c r="AB15" i="2"/>
  <c r="AB11" i="2"/>
  <c r="AB19" i="3"/>
  <c r="AB15" i="3" s="1"/>
  <c r="AA15" i="3"/>
  <c r="Z39" i="3"/>
  <c r="Z38" i="3" s="1"/>
  <c r="AC8" i="3"/>
  <c r="AA11" i="3"/>
  <c r="AA24" i="3" s="1"/>
  <c r="AA20" i="3" s="1"/>
  <c r="T51" i="2" l="1"/>
  <c r="U50" i="2"/>
  <c r="U53" i="3"/>
  <c r="V52" i="3"/>
  <c r="T57" i="4"/>
  <c r="T58" i="4" s="1"/>
  <c r="AA45" i="4"/>
  <c r="AA38" i="2"/>
  <c r="AB23" i="2"/>
  <c r="AB19" i="2" s="1"/>
  <c r="AC19" i="2" s="1"/>
  <c r="AC11" i="2"/>
  <c r="AB37" i="2"/>
  <c r="AB36" i="2" s="1"/>
  <c r="AC36" i="2" s="1"/>
  <c r="AC15" i="2"/>
  <c r="AB21" i="4"/>
  <c r="AB18" i="4" s="1"/>
  <c r="AB12" i="4"/>
  <c r="Z40" i="3"/>
  <c r="AA39" i="3"/>
  <c r="AA38" i="3" s="1"/>
  <c r="AB11" i="3"/>
  <c r="U51" i="2" l="1"/>
  <c r="V50" i="2"/>
  <c r="V53" i="3"/>
  <c r="W52" i="3"/>
  <c r="U57" i="4"/>
  <c r="U58" i="4" s="1"/>
  <c r="AB38" i="2"/>
  <c r="AC38" i="2" s="1"/>
  <c r="Q48" i="2" s="1"/>
  <c r="AB44" i="4"/>
  <c r="AB43" i="4" s="1"/>
  <c r="AC43" i="4" s="1"/>
  <c r="AC18" i="4"/>
  <c r="AB29" i="4"/>
  <c r="AB25" i="4" s="1"/>
  <c r="AC12" i="4"/>
  <c r="AA40" i="3"/>
  <c r="AB24" i="3"/>
  <c r="AB20" i="3" s="1"/>
  <c r="AC20" i="3" s="1"/>
  <c r="AC11" i="3"/>
  <c r="AB39" i="3"/>
  <c r="AB38" i="3" s="1"/>
  <c r="AC38" i="3" s="1"/>
  <c r="AC15" i="3"/>
  <c r="V51" i="2" l="1"/>
  <c r="W50" i="2"/>
  <c r="W53" i="3"/>
  <c r="X52" i="3"/>
  <c r="V57" i="4"/>
  <c r="V58" i="4" s="1"/>
  <c r="AC25" i="4"/>
  <c r="AB45" i="4"/>
  <c r="AB40" i="3"/>
  <c r="AC40" i="3" s="1"/>
  <c r="Q50" i="3" s="1"/>
  <c r="W51" i="2" l="1"/>
  <c r="X50" i="2"/>
  <c r="X53" i="3"/>
  <c r="Y52" i="3"/>
  <c r="W57" i="4"/>
  <c r="W58" i="4" s="1"/>
  <c r="AC45" i="4"/>
  <c r="Q55" i="4" s="1"/>
  <c r="X51" i="2" l="1"/>
  <c r="Y50" i="2"/>
  <c r="Y53" i="3"/>
  <c r="Z52" i="3"/>
  <c r="X57" i="4"/>
  <c r="X58" i="4" s="1"/>
  <c r="Y51" i="2" l="1"/>
  <c r="Z50" i="2"/>
  <c r="Z53" i="3"/>
  <c r="AA52" i="3"/>
  <c r="Y57" i="4"/>
  <c r="Y58" i="4" s="1"/>
  <c r="Z51" i="2" l="1"/>
  <c r="AA50" i="2"/>
  <c r="AA53" i="3"/>
  <c r="AB52" i="3"/>
  <c r="AB53" i="3" s="1"/>
  <c r="Z57" i="4"/>
  <c r="Z58" i="4" s="1"/>
  <c r="AA51" i="2" l="1"/>
  <c r="AB50" i="2"/>
  <c r="AB51" i="2" s="1"/>
  <c r="AA57" i="4"/>
  <c r="AA58" i="4" s="1"/>
  <c r="AB57" i="4" l="1"/>
  <c r="AB58" i="4" s="1"/>
</calcChain>
</file>

<file path=xl/sharedStrings.xml><?xml version="1.0" encoding="utf-8"?>
<sst xmlns="http://schemas.openxmlformats.org/spreadsheetml/2006/main" count="428" uniqueCount="135">
  <si>
    <t>MINI</t>
  </si>
  <si>
    <t>PREMIUM</t>
  </si>
  <si>
    <t>VIP</t>
  </si>
  <si>
    <t>-</t>
  </si>
  <si>
    <t>бесплатно</t>
  </si>
  <si>
    <t>Маркетинг</t>
  </si>
  <si>
    <t>бесплатно 1 месяц</t>
  </si>
  <si>
    <t>Аренда офиса</t>
  </si>
  <si>
    <t xml:space="preserve">ФОТ сотрудников (операторы) </t>
  </si>
  <si>
    <t>Прочие расходы (канцелярия, телефония, интернет)</t>
  </si>
  <si>
    <t>Контроль качества</t>
  </si>
  <si>
    <t>2% от стоимости заказа</t>
  </si>
  <si>
    <t>бесплатно 6 месяцев</t>
  </si>
  <si>
    <t>ИТОГО ИНВЕСТИЦИЙ</t>
  </si>
  <si>
    <t>Роялти (процент от выручки)</t>
  </si>
  <si>
    <t>Рекомендуемое население города для пакета, чел.</t>
  </si>
  <si>
    <t>Данные для расчетов:</t>
  </si>
  <si>
    <t>Кол-во транспорта</t>
  </si>
  <si>
    <t>Расчет кол-ва заказов:</t>
  </si>
  <si>
    <t>Выручка, в т.ч.</t>
  </si>
  <si>
    <t>1.1.</t>
  </si>
  <si>
    <t>Предоставление газели</t>
  </si>
  <si>
    <t>1.2.</t>
  </si>
  <si>
    <t>Услуги погрузки</t>
  </si>
  <si>
    <t>1.3.</t>
  </si>
  <si>
    <t>Переменные расходы, в т.ч.</t>
  </si>
  <si>
    <t>Зарплата, в т.ч.</t>
  </si>
  <si>
    <t>2.1.1.</t>
  </si>
  <si>
    <t>2.2.1.</t>
  </si>
  <si>
    <t>Роялти</t>
  </si>
  <si>
    <t>2.2.2.</t>
  </si>
  <si>
    <t>Услуги Колл-Центра</t>
  </si>
  <si>
    <t>Постоянные расходы, в т.ч.</t>
  </si>
  <si>
    <t>3.1.1.</t>
  </si>
  <si>
    <t>3.1.2.</t>
  </si>
  <si>
    <t>3.1.3.</t>
  </si>
  <si>
    <t>3.2.1.</t>
  </si>
  <si>
    <t>аренда</t>
  </si>
  <si>
    <t>услуги сторонних компаний, в т.ч.</t>
  </si>
  <si>
    <t>3.3.1.</t>
  </si>
  <si>
    <t>бух.учет</t>
  </si>
  <si>
    <t>3.3.2.</t>
  </si>
  <si>
    <t>банковское обслуживание</t>
  </si>
  <si>
    <t>3.3.3.</t>
  </si>
  <si>
    <t>интернет</t>
  </si>
  <si>
    <t>Чистая прибыль</t>
  </si>
  <si>
    <t>Инвестиции</t>
  </si>
  <si>
    <t>Паушальный взнос</t>
  </si>
  <si>
    <t>ИТОГО</t>
  </si>
  <si>
    <t>Возврат инвестций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</si>
  <si>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</si>
  <si>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</si>
  <si>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</si>
  <si>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</si>
  <si>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</si>
  <si>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</si>
  <si>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</si>
  <si>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</si>
  <si>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</si>
  <si>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</si>
  <si>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</si>
  <si>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</si>
  <si>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Кол-во заказов по услугам газели:</t>
  </si>
  <si>
    <t>кол-во заказов по услугам грузчиков:</t>
  </si>
  <si>
    <t>Кол-во заказов по услугам эвакуаторов:</t>
  </si>
  <si>
    <t>Выручка от эвакуаторов</t>
  </si>
  <si>
    <t>З/п операторов</t>
  </si>
  <si>
    <t>Отчисления центральный офис, в т.ч.</t>
  </si>
  <si>
    <t>Расходы на рекламу, в т.ч.</t>
  </si>
  <si>
    <t>РК яндекс директ и goole adwords</t>
  </si>
  <si>
    <t>Листовки</t>
  </si>
  <si>
    <t>Авито и другие площадки</t>
  </si>
  <si>
    <t>Оборот, в т.ч.</t>
  </si>
  <si>
    <t>1.1.1.</t>
  </si>
  <si>
    <t>1.2.1.</t>
  </si>
  <si>
    <t>1.3.1.</t>
  </si>
  <si>
    <t>налог (усн 6 %)</t>
  </si>
  <si>
    <t>Запуск , в т.ч.</t>
  </si>
  <si>
    <t>подключение города в программеи приложениях</t>
  </si>
  <si>
    <t>Орг.техника</t>
  </si>
  <si>
    <t>рентабельность инвестиций</t>
  </si>
  <si>
    <t>итог 1 год</t>
  </si>
  <si>
    <t>итог 2 год</t>
  </si>
  <si>
    <t>Налоги, в т.ч.</t>
  </si>
  <si>
    <t>1.4.1.</t>
  </si>
  <si>
    <t>Диспетчеризация грузовых таксопарков</t>
  </si>
  <si>
    <t>3.3.4.</t>
  </si>
  <si>
    <t>прочие расходы</t>
  </si>
  <si>
    <t>Программа+мобильные приложения</t>
  </si>
  <si>
    <t>Кол-во заказов по спецтехнике:</t>
  </si>
  <si>
    <t>Курьерская служба:</t>
  </si>
  <si>
    <t>1.4.</t>
  </si>
  <si>
    <t>1.5.</t>
  </si>
  <si>
    <t>Выручка от спецтехники</t>
  </si>
  <si>
    <t>Выручка от курьеров</t>
  </si>
  <si>
    <t xml:space="preserve"> Услуги эвакуаторов</t>
  </si>
  <si>
    <t>Услуги эвакуаторов</t>
  </si>
  <si>
    <t>Услуги спецтехники</t>
  </si>
  <si>
    <t>Услуги курьеров</t>
  </si>
  <si>
    <t>1.5.1.</t>
  </si>
  <si>
    <t>1.6.</t>
  </si>
  <si>
    <t>Орг.техника,телефония</t>
  </si>
  <si>
    <t>3% от стоимости заказа</t>
  </si>
  <si>
    <t>Ведение РК  (яндекс директ и google adwords)</t>
  </si>
  <si>
    <t>1% от стоимости заказа</t>
  </si>
  <si>
    <t xml:space="preserve"> </t>
  </si>
  <si>
    <t xml:space="preserve">Динамика возврата инвестиций </t>
  </si>
  <si>
    <t>Подключение города в программе и мобильных приложениях</t>
  </si>
  <si>
    <t>Настройка контекстной РК (яндекс директ и google adwords)</t>
  </si>
  <si>
    <t>Газель 1  час</t>
  </si>
  <si>
    <t>Грузчики 1 час</t>
  </si>
  <si>
    <t>Эвакуатор 1 час</t>
  </si>
  <si>
    <t>Спецтехника 1 час (среднее)</t>
  </si>
  <si>
    <t>Курьеры 1 доставка</t>
  </si>
  <si>
    <t>Кол-во заказов:</t>
  </si>
  <si>
    <t>Численность населения города:</t>
  </si>
  <si>
    <t>Интернет реклама</t>
  </si>
  <si>
    <t>Обслуживание других грузовых таксопарков:</t>
  </si>
  <si>
    <t>В месяц</t>
  </si>
  <si>
    <t>ФОТ диспетчеров</t>
  </si>
  <si>
    <t xml:space="preserve">Интерет </t>
  </si>
  <si>
    <t>Прочие расходы</t>
  </si>
  <si>
    <t>ДАННЫЕ ДЛЯ ВВОДА</t>
  </si>
  <si>
    <t>Средняя стоимость услуг Вашего города</t>
  </si>
  <si>
    <t>Данные затрат:</t>
  </si>
  <si>
    <t>Данные единорозавых затрат</t>
  </si>
  <si>
    <t>Подключение города</t>
  </si>
  <si>
    <t>Оргтехника</t>
  </si>
  <si>
    <t>Показатели чистой прибыли</t>
  </si>
  <si>
    <t>1 год</t>
  </si>
  <si>
    <t>2 год</t>
  </si>
  <si>
    <t xml:space="preserve">консультация </t>
  </si>
  <si>
    <t>до 300 000</t>
  </si>
  <si>
    <t>от 300 000 до 1 000 000</t>
  </si>
  <si>
    <t>для городов Астана, Алматы, Ташкент, Минск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</si>
</sst>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[$-419]General"/>
    <numFmt numFmtId="166" formatCode="#,##0\ &quot;₽&quot;"/>
    <numFmt numFmtId="167" formatCode="#,##0.00\ &quot;₽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5" fontId="6" fillId="0" borderId="0"/>
    <xf numFmtId="164" fontId="3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3" fillId="0" borderId="0" xfId="1" applyBorder="1"/>
    <xf numFmtId="0" fontId="7" fillId="0" borderId="0" xfId="1" applyFont="1" applyBorder="1"/>
    <xf numFmtId="0" fontId="3" fillId="0" borderId="0" xfId="1" applyFill="1" applyBorder="1"/>
    <xf numFmtId="0" fontId="7" fillId="2" borderId="0" xfId="1" applyFont="1" applyFill="1" applyBorder="1"/>
    <xf numFmtId="0" fontId="3" fillId="2" borderId="0" xfId="1" applyFill="1" applyBorder="1"/>
    <xf numFmtId="0" fontId="3" fillId="3" borderId="0" xfId="1" applyFill="1" applyBorder="1"/>
    <xf numFmtId="0" fontId="7" fillId="4" borderId="0" xfId="1" applyFont="1" applyFill="1" applyBorder="1"/>
    <xf numFmtId="0" fontId="3" fillId="4" borderId="0" xfId="1" applyFill="1" applyBorder="1"/>
    <xf numFmtId="0" fontId="0" fillId="2" borderId="8" xfId="0" applyFill="1" applyBorder="1"/>
    <xf numFmtId="0" fontId="0" fillId="0" borderId="8" xfId="0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6" fontId="10" fillId="4" borderId="8" xfId="0" applyNumberFormat="1" applyFont="1" applyFill="1" applyBorder="1"/>
    <xf numFmtId="166" fontId="10" fillId="0" borderId="8" xfId="0" applyNumberFormat="1" applyFont="1" applyBorder="1"/>
    <xf numFmtId="0" fontId="10" fillId="0" borderId="8" xfId="0" applyFont="1" applyBorder="1"/>
    <xf numFmtId="166" fontId="10" fillId="2" borderId="1" xfId="0" applyNumberFormat="1" applyFont="1" applyFill="1" applyBorder="1"/>
    <xf numFmtId="0" fontId="4" fillId="2" borderId="0" xfId="1" applyFont="1" applyFill="1" applyBorder="1"/>
    <xf numFmtId="0" fontId="0" fillId="0" borderId="4" xfId="0" applyBorder="1"/>
    <xf numFmtId="0" fontId="0" fillId="0" borderId="12" xfId="0" applyBorder="1"/>
    <xf numFmtId="0" fontId="0" fillId="4" borderId="4" xfId="0" applyFill="1" applyBorder="1"/>
    <xf numFmtId="0" fontId="0" fillId="0" borderId="14" xfId="0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3" borderId="0" xfId="0" applyNumberFormat="1" applyFill="1" applyBorder="1"/>
    <xf numFmtId="166" fontId="0" fillId="4" borderId="0" xfId="0" applyNumberFormat="1" applyFill="1" applyBorder="1"/>
    <xf numFmtId="0" fontId="8" fillId="0" borderId="0" xfId="1" applyFont="1" applyBorder="1"/>
    <xf numFmtId="166" fontId="0" fillId="0" borderId="0" xfId="0" applyNumberFormat="1" applyBorder="1"/>
    <xf numFmtId="166" fontId="4" fillId="4" borderId="0" xfId="0" applyNumberFormat="1" applyFont="1" applyFill="1" applyBorder="1"/>
    <xf numFmtId="0" fontId="9" fillId="0" borderId="0" xfId="1" applyFont="1" applyBorder="1"/>
    <xf numFmtId="14" fontId="8" fillId="0" borderId="0" xfId="1" applyNumberFormat="1" applyFont="1" applyBorder="1"/>
    <xf numFmtId="0" fontId="8" fillId="0" borderId="0" xfId="1" quotePrefix="1" applyFont="1" applyBorder="1" applyAlignment="1">
      <alignment horizontal="left"/>
    </xf>
    <xf numFmtId="166" fontId="4" fillId="2" borderId="0" xfId="0" applyNumberFormat="1" applyFont="1" applyFill="1" applyBorder="1"/>
    <xf numFmtId="0" fontId="0" fillId="0" borderId="16" xfId="0" applyBorder="1"/>
    <xf numFmtId="0" fontId="4" fillId="4" borderId="0" xfId="1" applyFont="1" applyFill="1" applyBorder="1"/>
    <xf numFmtId="0" fontId="0" fillId="4" borderId="0" xfId="0" applyFill="1" applyBorder="1"/>
    <xf numFmtId="0" fontId="0" fillId="7" borderId="16" xfId="0" applyFill="1" applyBorder="1"/>
    <xf numFmtId="1" fontId="0" fillId="0" borderId="0" xfId="0" applyNumberFormat="1" applyBorder="1"/>
    <xf numFmtId="0" fontId="4" fillId="6" borderId="18" xfId="1" applyFont="1" applyFill="1" applyBorder="1"/>
    <xf numFmtId="0" fontId="0" fillId="0" borderId="19" xfId="0" applyBorder="1"/>
    <xf numFmtId="0" fontId="4" fillId="0" borderId="13" xfId="0" applyFont="1" applyBorder="1"/>
    <xf numFmtId="0" fontId="4" fillId="0" borderId="15" xfId="0" applyFont="1" applyBorder="1"/>
    <xf numFmtId="0" fontId="3" fillId="0" borderId="20" xfId="1" applyBorder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4" fillId="0" borderId="0" xfId="1" applyFont="1" applyBorder="1"/>
    <xf numFmtId="0" fontId="0" fillId="0" borderId="21" xfId="0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166" fontId="0" fillId="4" borderId="6" xfId="0" applyNumberFormat="1" applyFill="1" applyBorder="1"/>
    <xf numFmtId="166" fontId="0" fillId="0" borderId="6" xfId="0" applyNumberFormat="1" applyBorder="1"/>
    <xf numFmtId="166" fontId="4" fillId="4" borderId="6" xfId="0" applyNumberFormat="1" applyFont="1" applyFill="1" applyBorder="1"/>
    <xf numFmtId="166" fontId="4" fillId="2" borderId="6" xfId="0" applyNumberFormat="1" applyFont="1" applyFill="1" applyBorder="1"/>
    <xf numFmtId="0" fontId="0" fillId="4" borderId="6" xfId="0" applyFill="1" applyBorder="1"/>
    <xf numFmtId="0" fontId="8" fillId="0" borderId="0" xfId="1" applyNumberFormat="1" applyFont="1" applyBorder="1"/>
    <xf numFmtId="0" fontId="8" fillId="0" borderId="0" xfId="1" applyFont="1" applyFill="1" applyBorder="1"/>
    <xf numFmtId="166" fontId="0" fillId="0" borderId="0" xfId="0" applyNumberFormat="1" applyFill="1" applyBorder="1"/>
    <xf numFmtId="166" fontId="0" fillId="0" borderId="6" xfId="0" applyNumberFormat="1" applyFill="1" applyBorder="1"/>
    <xf numFmtId="1" fontId="0" fillId="3" borderId="6" xfId="0" applyNumberFormat="1" applyFill="1" applyBorder="1"/>
    <xf numFmtId="1" fontId="0" fillId="2" borderId="6" xfId="0" applyNumberFormat="1" applyFill="1" applyBorder="1"/>
    <xf numFmtId="1" fontId="0" fillId="2" borderId="0" xfId="0" applyNumberFormat="1" applyFill="1" applyBorder="1"/>
    <xf numFmtId="0" fontId="2" fillId="3" borderId="0" xfId="1" applyFont="1" applyFill="1" applyBorder="1"/>
    <xf numFmtId="0" fontId="0" fillId="0" borderId="22" xfId="0" applyBorder="1"/>
    <xf numFmtId="0" fontId="12" fillId="2" borderId="10" xfId="0" applyFont="1" applyFill="1" applyBorder="1"/>
    <xf numFmtId="0" fontId="11" fillId="5" borderId="17" xfId="0" applyFont="1" applyFill="1" applyBorder="1"/>
    <xf numFmtId="0" fontId="11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9" fontId="11" fillId="5" borderId="9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9" fontId="11" fillId="5" borderId="18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23" xfId="0" applyFont="1" applyBorder="1"/>
    <xf numFmtId="0" fontId="14" fillId="0" borderId="24" xfId="0" applyFont="1" applyBorder="1"/>
    <xf numFmtId="0" fontId="15" fillId="4" borderId="7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0" fillId="0" borderId="28" xfId="0" applyBorder="1"/>
    <xf numFmtId="10" fontId="0" fillId="0" borderId="0" xfId="0" applyNumberFormat="1"/>
    <xf numFmtId="0" fontId="4" fillId="6" borderId="0" xfId="1" applyFont="1" applyFill="1" applyBorder="1"/>
    <xf numFmtId="166" fontId="0" fillId="6" borderId="0" xfId="0" applyNumberFormat="1" applyFill="1" applyBorder="1"/>
    <xf numFmtId="166" fontId="0" fillId="6" borderId="4" xfId="0" applyNumberFormat="1" applyFill="1" applyBorder="1"/>
    <xf numFmtId="10" fontId="0" fillId="6" borderId="18" xfId="0" applyNumberFormat="1" applyFill="1" applyBorder="1"/>
    <xf numFmtId="0" fontId="0" fillId="0" borderId="17" xfId="0" applyBorder="1"/>
    <xf numFmtId="166" fontId="4" fillId="6" borderId="4" xfId="1" applyNumberFormat="1" applyFont="1" applyFill="1" applyBorder="1"/>
    <xf numFmtId="9" fontId="4" fillId="6" borderId="11" xfId="0" applyNumberFormat="1" applyFont="1" applyFill="1" applyBorder="1"/>
    <xf numFmtId="10" fontId="0" fillId="6" borderId="11" xfId="0" applyNumberFormat="1" applyFill="1" applyBorder="1"/>
    <xf numFmtId="0" fontId="0" fillId="0" borderId="0" xfId="0" applyNumberFormat="1" applyBorder="1"/>
    <xf numFmtId="0" fontId="7" fillId="0" borderId="0" xfId="1" applyFont="1" applyFill="1" applyBorder="1"/>
    <xf numFmtId="0" fontId="7" fillId="3" borderId="0" xfId="1" applyFont="1" applyFill="1" applyBorder="1"/>
    <xf numFmtId="0" fontId="3" fillId="3" borderId="4" xfId="1" applyFill="1" applyBorder="1"/>
    <xf numFmtId="0" fontId="3" fillId="3" borderId="31" xfId="1" applyFill="1" applyBorder="1"/>
    <xf numFmtId="0" fontId="2" fillId="3" borderId="31" xfId="1" applyFont="1" applyFill="1" applyBorder="1"/>
    <xf numFmtId="0" fontId="4" fillId="0" borderId="15" xfId="0" applyFont="1" applyFill="1" applyBorder="1" applyAlignment="1">
      <alignment vertical="center" textRotation="90"/>
    </xf>
    <xf numFmtId="0" fontId="1" fillId="9" borderId="32" xfId="1" applyFont="1" applyFill="1" applyBorder="1"/>
    <xf numFmtId="0" fontId="16" fillId="0" borderId="15" xfId="0" applyFont="1" applyBorder="1"/>
    <xf numFmtId="0" fontId="17" fillId="4" borderId="0" xfId="1" applyFont="1" applyFill="1" applyBorder="1"/>
    <xf numFmtId="0" fontId="18" fillId="4" borderId="0" xfId="1" applyFont="1" applyFill="1" applyBorder="1"/>
    <xf numFmtId="166" fontId="16" fillId="4" borderId="6" xfId="0" applyNumberFormat="1" applyFont="1" applyFill="1" applyBorder="1"/>
    <xf numFmtId="166" fontId="16" fillId="4" borderId="0" xfId="0" applyNumberFormat="1" applyFont="1" applyFill="1" applyBorder="1"/>
    <xf numFmtId="166" fontId="16" fillId="4" borderId="8" xfId="0" applyNumberFormat="1" applyFont="1" applyFill="1" applyBorder="1"/>
    <xf numFmtId="0" fontId="18" fillId="0" borderId="0" xfId="0" applyFont="1"/>
    <xf numFmtId="0" fontId="8" fillId="8" borderId="0" xfId="1" applyFont="1" applyFill="1" applyBorder="1"/>
    <xf numFmtId="0" fontId="5" fillId="8" borderId="0" xfId="1" applyFont="1" applyFill="1" applyBorder="1"/>
    <xf numFmtId="167" fontId="0" fillId="0" borderId="0" xfId="0" applyNumberFormat="1"/>
    <xf numFmtId="0" fontId="4" fillId="0" borderId="15" xfId="0" applyFont="1" applyFill="1" applyBorder="1"/>
    <xf numFmtId="0" fontId="8" fillId="0" borderId="0" xfId="1" applyNumberFormat="1" applyFont="1" applyFill="1" applyBorder="1"/>
    <xf numFmtId="166" fontId="10" fillId="0" borderId="8" xfId="0" applyNumberFormat="1" applyFont="1" applyFill="1" applyBorder="1"/>
    <xf numFmtId="0" fontId="0" fillId="0" borderId="0" xfId="0" applyFill="1"/>
    <xf numFmtId="14" fontId="8" fillId="0" borderId="0" xfId="1" applyNumberFormat="1" applyFont="1" applyFill="1" applyBorder="1"/>
    <xf numFmtId="0" fontId="0" fillId="0" borderId="0" xfId="0" applyNumberFormat="1" applyFill="1" applyBorder="1"/>
    <xf numFmtId="0" fontId="4" fillId="0" borderId="32" xfId="0" applyFont="1" applyBorder="1"/>
    <xf numFmtId="0" fontId="4" fillId="8" borderId="32" xfId="0" applyFont="1" applyFill="1" applyBorder="1"/>
    <xf numFmtId="44" fontId="0" fillId="8" borderId="32" xfId="0" applyNumberFormat="1" applyFill="1" applyBorder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167" fontId="0" fillId="8" borderId="32" xfId="0" applyNumberFormat="1" applyFill="1" applyBorder="1"/>
    <xf numFmtId="167" fontId="0" fillId="8" borderId="32" xfId="0" applyNumberFormat="1" applyFill="1" applyBorder="1" applyAlignment="1">
      <alignment horizontal="center" vertical="center"/>
    </xf>
    <xf numFmtId="166" fontId="15" fillId="2" borderId="32" xfId="0" applyNumberFormat="1" applyFont="1" applyFill="1" applyBorder="1"/>
    <xf numFmtId="0" fontId="4" fillId="9" borderId="32" xfId="1" applyFont="1" applyFill="1" applyBorder="1" applyAlignment="1">
      <alignment horizontal="center" vertical="center"/>
    </xf>
    <xf numFmtId="0" fontId="0" fillId="2" borderId="0" xfId="0" applyFill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10" fontId="10" fillId="2" borderId="3" xfId="0" applyNumberFormat="1" applyFont="1" applyFill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9" borderId="34" xfId="1" applyFont="1" applyFill="1" applyBorder="1" applyAlignment="1">
      <alignment horizontal="center" vertical="center"/>
    </xf>
    <xf numFmtId="0" fontId="4" fillId="9" borderId="30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5">
    <cellStyle name="Excel Built-in Normal" xfId="3"/>
    <cellStyle name="Обычный" xfId="0" builtinId="0"/>
    <cellStyle name="Обычный 2" xfId="1"/>
    <cellStyle name="Процентный 2" xfId="2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77.5703125" customWidth="1"/>
    <col min="2" max="2" width="33.7109375" customWidth="1"/>
    <col min="3" max="3" width="40" customWidth="1"/>
    <col min="4" max="4" width="34.5703125" customWidth="1"/>
    <col min="5" max="5" width="62.42578125" customWidth="1"/>
    <col min="6" max="6" width="59" customWidth="1"/>
    <col min="7" max="7" width="46.140625" customWidth="1"/>
  </cols>
  <sheetData>
    <row r="1" spans="1:7" ht="21" x14ac:dyDescent="0.25">
      <c r="A1" s="68"/>
      <c r="B1" s="83" t="s">
        <v>0</v>
      </c>
      <c r="C1" s="84" t="s">
        <v>1</v>
      </c>
      <c r="D1" s="83" t="s">
        <v>2</v>
      </c>
      <c r="E1" s="1"/>
      <c r="F1" s="1"/>
      <c r="G1" s="1"/>
    </row>
    <row r="2" spans="1:7" ht="37.5" x14ac:dyDescent="0.3">
      <c r="A2" s="81" t="s">
        <v>15</v>
      </c>
      <c r="B2" s="72" t="s">
        <v>132</v>
      </c>
      <c r="C2" s="76" t="s">
        <v>133</v>
      </c>
      <c r="D2" s="72" t="s">
        <v>134</v>
      </c>
      <c r="E2" s="1"/>
      <c r="F2" s="1"/>
      <c r="G2" s="1"/>
    </row>
    <row r="3" spans="1:7" ht="17.25" customHeight="1" x14ac:dyDescent="0.3">
      <c r="A3" s="81" t="s">
        <v>47</v>
      </c>
      <c r="B3" s="73">
        <v>250000</v>
      </c>
      <c r="C3" s="71">
        <v>350000</v>
      </c>
      <c r="D3" s="73">
        <v>500000</v>
      </c>
      <c r="E3" s="2"/>
      <c r="F3" s="2"/>
      <c r="G3" s="2"/>
    </row>
    <row r="4" spans="1:7" ht="18.75" customHeight="1" x14ac:dyDescent="0.3">
      <c r="A4" s="81" t="s">
        <v>107</v>
      </c>
      <c r="B4" s="73">
        <v>42000</v>
      </c>
      <c r="C4" s="71" t="s">
        <v>3</v>
      </c>
      <c r="D4" s="73" t="s">
        <v>3</v>
      </c>
      <c r="E4" s="2"/>
      <c r="F4" s="2"/>
      <c r="G4" s="2"/>
    </row>
    <row r="5" spans="1:7" ht="26.25" customHeight="1" x14ac:dyDescent="0.3">
      <c r="A5" s="81" t="s">
        <v>108</v>
      </c>
      <c r="B5" s="73" t="s">
        <v>131</v>
      </c>
      <c r="C5" s="71" t="s">
        <v>4</v>
      </c>
      <c r="D5" s="73" t="s">
        <v>4</v>
      </c>
      <c r="E5" s="2"/>
      <c r="F5" s="2"/>
      <c r="G5" s="2"/>
    </row>
    <row r="6" spans="1:7" ht="30" customHeight="1" x14ac:dyDescent="0.3">
      <c r="A6" s="81" t="s">
        <v>103</v>
      </c>
      <c r="B6" s="73" t="s">
        <v>3</v>
      </c>
      <c r="C6" s="71">
        <v>10000</v>
      </c>
      <c r="D6" s="73" t="s">
        <v>6</v>
      </c>
      <c r="E6" s="2"/>
      <c r="F6" s="2"/>
      <c r="G6" s="2"/>
    </row>
    <row r="7" spans="1:7" ht="28.5" customHeight="1" x14ac:dyDescent="0.3">
      <c r="A7" s="81" t="s">
        <v>5</v>
      </c>
      <c r="B7" s="73">
        <v>15000</v>
      </c>
      <c r="C7" s="71">
        <v>37000</v>
      </c>
      <c r="D7" s="73">
        <v>67000</v>
      </c>
      <c r="E7" s="2"/>
      <c r="F7" s="2"/>
      <c r="G7" s="2"/>
    </row>
    <row r="8" spans="1:7" ht="23.25" customHeight="1" x14ac:dyDescent="0.3">
      <c r="A8" s="81" t="s">
        <v>10</v>
      </c>
      <c r="B8" s="73" t="s">
        <v>11</v>
      </c>
      <c r="C8" s="71" t="s">
        <v>104</v>
      </c>
      <c r="D8" s="73" t="s">
        <v>12</v>
      </c>
      <c r="E8" s="2"/>
      <c r="F8" s="2"/>
      <c r="G8" s="2"/>
    </row>
    <row r="9" spans="1:7" ht="18.75" customHeight="1" x14ac:dyDescent="0.3">
      <c r="A9" s="81" t="s">
        <v>7</v>
      </c>
      <c r="B9" s="73">
        <v>0</v>
      </c>
      <c r="C9" s="71">
        <v>8000</v>
      </c>
      <c r="D9" s="73">
        <v>10000</v>
      </c>
      <c r="E9" s="2"/>
      <c r="F9" s="2"/>
      <c r="G9" s="2"/>
    </row>
    <row r="10" spans="1:7" ht="21.75" customHeight="1" x14ac:dyDescent="0.3">
      <c r="A10" s="81" t="s">
        <v>8</v>
      </c>
      <c r="B10" s="73" t="s">
        <v>102</v>
      </c>
      <c r="C10" s="71" t="s">
        <v>3</v>
      </c>
      <c r="D10" s="73">
        <v>30000</v>
      </c>
      <c r="E10" s="2"/>
      <c r="F10" s="2"/>
      <c r="G10" s="2"/>
    </row>
    <row r="11" spans="1:7" ht="27.75" customHeight="1" thickBot="1" x14ac:dyDescent="0.35">
      <c r="A11" s="82" t="s">
        <v>9</v>
      </c>
      <c r="B11" s="74">
        <v>2000</v>
      </c>
      <c r="C11" s="77">
        <v>3500</v>
      </c>
      <c r="D11" s="74">
        <v>7500</v>
      </c>
      <c r="E11" s="2"/>
      <c r="F11" s="2"/>
      <c r="G11" s="2"/>
    </row>
    <row r="12" spans="1:7" ht="25.5" customHeight="1" thickBot="1" x14ac:dyDescent="0.35">
      <c r="A12" s="69" t="s">
        <v>13</v>
      </c>
      <c r="B12" s="79">
        <f>SUM(B3,B4,B5,B6,B7,B9,B10,B11)</f>
        <v>309000</v>
      </c>
      <c r="C12" s="80">
        <f>SUM(C3,C5,C6,C7,C9,C10,C11)</f>
        <v>408500</v>
      </c>
      <c r="D12" s="79">
        <f>SUM(D3,D5,D6,D7,D9,D10,D11)</f>
        <v>614500</v>
      </c>
      <c r="E12" s="2"/>
      <c r="F12" s="2"/>
      <c r="G12" s="2"/>
    </row>
    <row r="13" spans="1:7" ht="23.25" customHeight="1" thickBot="1" x14ac:dyDescent="0.35">
      <c r="A13" s="70" t="s">
        <v>14</v>
      </c>
      <c r="B13" s="75">
        <v>0.04</v>
      </c>
      <c r="C13" s="78">
        <v>0.04</v>
      </c>
      <c r="D13" s="75">
        <v>0.03</v>
      </c>
      <c r="E13" s="2"/>
      <c r="F13" s="2"/>
      <c r="G13" s="2"/>
    </row>
    <row r="14" spans="1:7" ht="19.5" customHeight="1" x14ac:dyDescent="0.25">
      <c r="E14" s="2"/>
      <c r="F14" s="2"/>
      <c r="G14" s="2"/>
    </row>
    <row r="15" spans="1:7" ht="21" customHeight="1" x14ac:dyDescent="0.25">
      <c r="E15" s="2"/>
      <c r="F15" s="2"/>
      <c r="G15" s="2"/>
    </row>
    <row r="16" spans="1:7" ht="16.5" customHeight="1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3"/>
      <c r="F18" s="2"/>
      <c r="G18" s="2"/>
    </row>
    <row r="19" spans="5:7" x14ac:dyDescent="0.25">
      <c r="E19" s="3"/>
      <c r="F19" s="3"/>
      <c r="G19" s="2"/>
    </row>
    <row r="20" spans="5:7" x14ac:dyDescent="0.25">
      <c r="E20" s="1"/>
      <c r="F20" s="1"/>
      <c r="G20" s="1"/>
    </row>
    <row r="21" spans="5:7" x14ac:dyDescent="0.25">
      <c r="E21" s="1"/>
      <c r="F21" s="1"/>
      <c r="G21" s="1"/>
    </row>
    <row r="22" spans="5:7" x14ac:dyDescent="0.25"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="90" zoomScaleNormal="90" workbookViewId="0">
      <pane xSplit="5" ySplit="8" topLeftCell="F37" activePane="bottomRight" state="frozen"/>
      <selection pane="topRight" activeCell="F1" sqref="F1"/>
      <selection pane="bottomLeft" activeCell="A12" sqref="A12"/>
      <selection pane="bottomRight" activeCell="D43" sqref="D43"/>
    </sheetView>
  </sheetViews>
  <sheetFormatPr defaultRowHeight="15" x14ac:dyDescent="0.25"/>
  <cols>
    <col min="2" max="2" width="33.7109375" customWidth="1"/>
    <col min="3" max="3" width="37.7109375" customWidth="1"/>
    <col min="4" max="6" width="12.28515625" bestFit="1" customWidth="1"/>
    <col min="7" max="10" width="12.28515625" customWidth="1"/>
    <col min="11" max="15" width="12.28515625" bestFit="1" customWidth="1"/>
    <col min="16" max="16" width="15.28515625" customWidth="1"/>
    <col min="17" max="20" width="12.28515625" bestFit="1" customWidth="1"/>
    <col min="21" max="27" width="11.7109375" bestFit="1" customWidth="1"/>
    <col min="28" max="28" width="13.28515625" bestFit="1" customWidth="1"/>
    <col min="29" max="29" width="17.28515625" customWidth="1"/>
  </cols>
  <sheetData>
    <row r="1" spans="1:29" ht="15.75" thickBot="1" x14ac:dyDescent="0.3">
      <c r="A1" s="45"/>
      <c r="B1" s="47" t="s">
        <v>16</v>
      </c>
      <c r="C1" s="47"/>
      <c r="D1" s="51">
        <v>2021</v>
      </c>
      <c r="E1" s="51">
        <v>2021</v>
      </c>
      <c r="F1" s="51">
        <v>2021</v>
      </c>
      <c r="G1" s="51">
        <v>2021</v>
      </c>
      <c r="H1" s="51">
        <v>2021</v>
      </c>
      <c r="I1" s="51">
        <v>2021</v>
      </c>
      <c r="J1" s="51">
        <v>2021</v>
      </c>
      <c r="K1" s="51">
        <v>2021</v>
      </c>
      <c r="L1" s="51">
        <v>2021</v>
      </c>
      <c r="M1" s="51">
        <v>2021</v>
      </c>
      <c r="N1" s="51">
        <v>2021</v>
      </c>
      <c r="O1" s="51">
        <v>2021</v>
      </c>
      <c r="P1" s="129" t="s">
        <v>81</v>
      </c>
      <c r="Q1" s="24">
        <v>2022</v>
      </c>
      <c r="R1" s="24">
        <v>2022</v>
      </c>
      <c r="S1" s="24">
        <v>2022</v>
      </c>
      <c r="T1" s="24">
        <v>2022</v>
      </c>
      <c r="U1" s="24">
        <v>2022</v>
      </c>
      <c r="V1" s="24">
        <v>2022</v>
      </c>
      <c r="W1" s="24">
        <v>2022</v>
      </c>
      <c r="X1" s="24">
        <v>2022</v>
      </c>
      <c r="Y1" s="24">
        <v>2022</v>
      </c>
      <c r="Z1" s="24">
        <v>2022</v>
      </c>
      <c r="AA1" s="24">
        <v>2022</v>
      </c>
      <c r="AB1" s="24">
        <v>2022</v>
      </c>
      <c r="AC1" s="129" t="s">
        <v>82</v>
      </c>
    </row>
    <row r="2" spans="1:29" ht="15.75" thickTop="1" x14ac:dyDescent="0.25">
      <c r="A2" s="46"/>
      <c r="B2" s="5"/>
      <c r="C2" s="4"/>
      <c r="D2" s="52" t="s">
        <v>58</v>
      </c>
      <c r="E2" s="52" t="s">
        <v>59</v>
      </c>
      <c r="F2" s="52" t="s">
        <v>60</v>
      </c>
      <c r="G2" s="52" t="s">
        <v>61</v>
      </c>
      <c r="H2" s="52" t="s">
        <v>50</v>
      </c>
      <c r="I2" s="52" t="s">
        <v>51</v>
      </c>
      <c r="J2" s="52" t="s">
        <v>52</v>
      </c>
      <c r="K2" s="52" t="s">
        <v>53</v>
      </c>
      <c r="L2" s="52" t="s">
        <v>54</v>
      </c>
      <c r="M2" s="52" t="s">
        <v>55</v>
      </c>
      <c r="N2" s="52" t="s">
        <v>56</v>
      </c>
      <c r="O2" s="52" t="s">
        <v>57</v>
      </c>
      <c r="P2" s="130"/>
      <c r="Q2" s="25" t="s">
        <v>58</v>
      </c>
      <c r="R2" s="25" t="s">
        <v>59</v>
      </c>
      <c r="S2" s="25" t="s">
        <v>60</v>
      </c>
      <c r="T2" s="25" t="s">
        <v>61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55</v>
      </c>
      <c r="AA2" s="25" t="s">
        <v>56</v>
      </c>
      <c r="AB2" s="25" t="s">
        <v>57</v>
      </c>
      <c r="AC2" s="130"/>
    </row>
    <row r="3" spans="1:29" x14ac:dyDescent="0.25">
      <c r="A3" s="46"/>
      <c r="B3" s="7" t="s">
        <v>17</v>
      </c>
      <c r="C3" s="8"/>
      <c r="D3" s="53">
        <v>5</v>
      </c>
      <c r="E3" s="26">
        <v>10</v>
      </c>
      <c r="F3" s="26">
        <v>20</v>
      </c>
      <c r="G3" s="26">
        <v>20</v>
      </c>
      <c r="H3" s="26">
        <v>25</v>
      </c>
      <c r="I3" s="26">
        <v>30</v>
      </c>
      <c r="J3" s="26">
        <v>30</v>
      </c>
      <c r="K3" s="26">
        <v>30</v>
      </c>
      <c r="L3" s="26">
        <v>30</v>
      </c>
      <c r="M3" s="26">
        <v>30</v>
      </c>
      <c r="N3" s="26">
        <v>30</v>
      </c>
      <c r="O3" s="26">
        <v>30</v>
      </c>
      <c r="P3" s="12"/>
      <c r="Q3" s="26">
        <v>20</v>
      </c>
      <c r="R3" s="26">
        <v>20</v>
      </c>
      <c r="S3" s="26">
        <v>20</v>
      </c>
      <c r="T3" s="26">
        <v>25</v>
      </c>
      <c r="U3" s="26">
        <v>45</v>
      </c>
      <c r="V3" s="26">
        <v>60</v>
      </c>
      <c r="W3" s="26">
        <v>70</v>
      </c>
      <c r="X3" s="26">
        <v>90</v>
      </c>
      <c r="Y3" s="26">
        <v>90</v>
      </c>
      <c r="Z3" s="26">
        <v>95</v>
      </c>
      <c r="AA3" s="26">
        <v>95</v>
      </c>
      <c r="AB3" s="26">
        <v>100</v>
      </c>
      <c r="AC3" s="13"/>
    </row>
    <row r="4" spans="1:29" x14ac:dyDescent="0.25">
      <c r="A4" s="46"/>
      <c r="B4" s="5"/>
      <c r="C4" s="4"/>
      <c r="D4" s="5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3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3"/>
    </row>
    <row r="5" spans="1:29" x14ac:dyDescent="0.25">
      <c r="A5" s="46"/>
      <c r="B5" s="10" t="s">
        <v>18</v>
      </c>
      <c r="C5" s="11"/>
      <c r="D5" s="5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3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</row>
    <row r="6" spans="1:29" ht="18.75" x14ac:dyDescent="0.3">
      <c r="A6" s="46"/>
      <c r="B6" s="5"/>
      <c r="C6" s="9" t="s">
        <v>62</v>
      </c>
      <c r="D6" s="54">
        <v>145</v>
      </c>
      <c r="E6" s="27">
        <v>268</v>
      </c>
      <c r="F6" s="27">
        <v>345</v>
      </c>
      <c r="G6" s="27">
        <v>448</v>
      </c>
      <c r="H6" s="27">
        <v>507</v>
      </c>
      <c r="I6" s="27">
        <v>780</v>
      </c>
      <c r="J6" s="27">
        <v>812</v>
      </c>
      <c r="K6" s="27">
        <v>925</v>
      </c>
      <c r="L6" s="27">
        <v>758</v>
      </c>
      <c r="M6" s="27">
        <v>680</v>
      </c>
      <c r="N6" s="27">
        <v>556</v>
      </c>
      <c r="O6" s="27">
        <v>615</v>
      </c>
      <c r="P6" s="14">
        <f>SUM(D6:O6)</f>
        <v>6839</v>
      </c>
      <c r="Q6" s="27">
        <v>400</v>
      </c>
      <c r="R6" s="27">
        <v>800</v>
      </c>
      <c r="S6" s="28">
        <f>R6*1.25</f>
        <v>1000</v>
      </c>
      <c r="T6" s="28">
        <f>S6*1.4</f>
        <v>1400</v>
      </c>
      <c r="U6" s="28">
        <f t="shared" ref="U6:U7" si="0">T6*1.4</f>
        <v>1959.9999999999998</v>
      </c>
      <c r="V6" s="28">
        <f>U6*1.15</f>
        <v>2253.9999999999995</v>
      </c>
      <c r="W6" s="28">
        <f t="shared" ref="W6:Y6" si="1">V6*1.15</f>
        <v>2592.0999999999995</v>
      </c>
      <c r="X6" s="28">
        <f t="shared" si="1"/>
        <v>2980.9149999999991</v>
      </c>
      <c r="Y6" s="28">
        <f t="shared" si="1"/>
        <v>3428.0522499999988</v>
      </c>
      <c r="Z6" s="28">
        <f>Y6*1.05</f>
        <v>3599.4548624999989</v>
      </c>
      <c r="AA6" s="28">
        <v>2400</v>
      </c>
      <c r="AB6" s="28">
        <v>1900</v>
      </c>
      <c r="AC6" s="15">
        <f>SUM(Q6:AB6)</f>
        <v>24714.522112499995</v>
      </c>
    </row>
    <row r="7" spans="1:29" ht="18.75" x14ac:dyDescent="0.3">
      <c r="A7" s="46"/>
      <c r="B7" s="5"/>
      <c r="C7" s="9" t="s">
        <v>63</v>
      </c>
      <c r="D7" s="54">
        <v>20</v>
      </c>
      <c r="E7" s="29">
        <v>45</v>
      </c>
      <c r="F7" s="28">
        <v>60</v>
      </c>
      <c r="G7" s="28">
        <v>72</v>
      </c>
      <c r="H7" s="28">
        <v>80</v>
      </c>
      <c r="I7" s="28">
        <v>120</v>
      </c>
      <c r="J7" s="28">
        <v>130</v>
      </c>
      <c r="K7" s="28">
        <v>120</v>
      </c>
      <c r="L7" s="28">
        <v>150</v>
      </c>
      <c r="M7" s="28">
        <v>150</v>
      </c>
      <c r="N7" s="28">
        <v>100</v>
      </c>
      <c r="O7" s="28">
        <v>80</v>
      </c>
      <c r="P7" s="14">
        <f>SUM(D7:O7)</f>
        <v>1127</v>
      </c>
      <c r="Q7" s="28">
        <v>90</v>
      </c>
      <c r="R7" s="28">
        <v>100</v>
      </c>
      <c r="S7" s="28">
        <f t="shared" ref="S7:S8" si="2">R7*1.25</f>
        <v>125</v>
      </c>
      <c r="T7" s="28">
        <f>S7*1.4</f>
        <v>175</v>
      </c>
      <c r="U7" s="28">
        <f t="shared" si="0"/>
        <v>244.99999999999997</v>
      </c>
      <c r="V7" s="28">
        <f t="shared" ref="V7" si="3">U7*1.4</f>
        <v>342.99999999999994</v>
      </c>
      <c r="W7" s="28">
        <f>V7*1.05</f>
        <v>360.15</v>
      </c>
      <c r="X7" s="28">
        <f t="shared" ref="X7:Y7" si="4">W7*1.05</f>
        <v>378.15749999999997</v>
      </c>
      <c r="Y7" s="28">
        <f t="shared" si="4"/>
        <v>397.06537499999996</v>
      </c>
      <c r="Z7" s="28">
        <v>250</v>
      </c>
      <c r="AA7" s="28">
        <v>200</v>
      </c>
      <c r="AB7" s="28">
        <v>200</v>
      </c>
      <c r="AC7" s="15">
        <f t="shared" ref="AC7:AC8" si="5">SUM(Q7:AB7)</f>
        <v>2863.372875</v>
      </c>
    </row>
    <row r="8" spans="1:29" ht="18.75" x14ac:dyDescent="0.3">
      <c r="A8" s="46"/>
      <c r="B8" s="5"/>
      <c r="C8" s="9" t="s">
        <v>64</v>
      </c>
      <c r="D8" s="54">
        <v>2</v>
      </c>
      <c r="E8" s="27">
        <v>8</v>
      </c>
      <c r="F8" s="28">
        <v>15</v>
      </c>
      <c r="G8" s="28">
        <v>12</v>
      </c>
      <c r="H8" s="28">
        <f>G8*1.2</f>
        <v>14.399999999999999</v>
      </c>
      <c r="I8" s="28">
        <f t="shared" ref="I8:K8" si="6">H8*1.2</f>
        <v>17.279999999999998</v>
      </c>
      <c r="J8" s="28">
        <f t="shared" si="6"/>
        <v>20.735999999999997</v>
      </c>
      <c r="K8" s="28">
        <f t="shared" si="6"/>
        <v>24.883199999999995</v>
      </c>
      <c r="L8" s="28">
        <f t="shared" ref="L8:O8" si="7">K8*1.2</f>
        <v>29.859839999999991</v>
      </c>
      <c r="M8" s="28">
        <f>L8*1.2</f>
        <v>35.831807999999988</v>
      </c>
      <c r="N8" s="28">
        <f t="shared" si="7"/>
        <v>42.998169599999983</v>
      </c>
      <c r="O8" s="28">
        <f t="shared" si="7"/>
        <v>51.597803519999978</v>
      </c>
      <c r="P8" s="15">
        <f>SUM(D8:O8)</f>
        <v>274.58682111999991</v>
      </c>
      <c r="Q8" s="28">
        <v>45</v>
      </c>
      <c r="R8" s="28">
        <v>50</v>
      </c>
      <c r="S8" s="28">
        <f t="shared" si="2"/>
        <v>62.5</v>
      </c>
      <c r="T8" s="28">
        <f t="shared" ref="T8:AA8" si="8">S8*1.05</f>
        <v>65.625</v>
      </c>
      <c r="U8" s="28">
        <v>20</v>
      </c>
      <c r="V8" s="28">
        <f t="shared" si="8"/>
        <v>21</v>
      </c>
      <c r="W8" s="28">
        <f t="shared" si="8"/>
        <v>22.05</v>
      </c>
      <c r="X8" s="28">
        <f t="shared" si="8"/>
        <v>23.152500000000003</v>
      </c>
      <c r="Y8" s="28">
        <f t="shared" si="8"/>
        <v>24.310125000000003</v>
      </c>
      <c r="Z8" s="28">
        <f t="shared" si="8"/>
        <v>25.525631250000004</v>
      </c>
      <c r="AA8" s="28">
        <f t="shared" si="8"/>
        <v>26.801912812500007</v>
      </c>
      <c r="AB8" s="28">
        <f>AA8*1.05</f>
        <v>28.142008453125008</v>
      </c>
      <c r="AC8" s="15">
        <f t="shared" si="5"/>
        <v>414.10717751562504</v>
      </c>
    </row>
    <row r="9" spans="1:29" ht="18.75" x14ac:dyDescent="0.3">
      <c r="A9" s="46"/>
      <c r="B9" s="5"/>
      <c r="C9" s="25"/>
      <c r="D9" s="5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18"/>
    </row>
    <row r="10" spans="1:29" ht="18.75" x14ac:dyDescent="0.3">
      <c r="A10" s="46"/>
      <c r="B10" s="5"/>
      <c r="C10" s="6"/>
      <c r="D10" s="5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18"/>
    </row>
    <row r="11" spans="1:29" ht="18.75" x14ac:dyDescent="0.3">
      <c r="A11" s="46">
        <v>1</v>
      </c>
      <c r="B11" s="10" t="s">
        <v>72</v>
      </c>
      <c r="C11" s="11"/>
      <c r="D11" s="55">
        <f>SUM(D12:D14)</f>
        <v>120835</v>
      </c>
      <c r="E11" s="30">
        <f t="shared" ref="E11:AB11" si="9">SUM(E12:E14)</f>
        <v>236764</v>
      </c>
      <c r="F11" s="30">
        <f>SUM(F12:F14)</f>
        <v>315435</v>
      </c>
      <c r="G11" s="30">
        <f t="shared" ref="G11:J11" si="10">SUM(G12:G14)</f>
        <v>490560</v>
      </c>
      <c r="H11" s="30">
        <f t="shared" si="10"/>
        <v>555915</v>
      </c>
      <c r="I11" s="30">
        <f t="shared" si="10"/>
        <v>843660</v>
      </c>
      <c r="J11" s="30">
        <f t="shared" si="10"/>
        <v>886812</v>
      </c>
      <c r="K11" s="30">
        <f t="shared" si="9"/>
        <v>995891.4</v>
      </c>
      <c r="L11" s="30">
        <f t="shared" si="9"/>
        <v>697753.67999999993</v>
      </c>
      <c r="M11" s="30">
        <f t="shared" si="9"/>
        <v>653303.61599999992</v>
      </c>
      <c r="N11" s="30">
        <f t="shared" si="9"/>
        <v>547984.33919999993</v>
      </c>
      <c r="O11" s="30">
        <f t="shared" si="9"/>
        <v>595840.60703999992</v>
      </c>
      <c r="P11" s="16">
        <f>SUM(D11:O11)</f>
        <v>6940754.6422400009</v>
      </c>
      <c r="Q11" s="30">
        <f t="shared" si="9"/>
        <v>433200</v>
      </c>
      <c r="R11" s="30">
        <f t="shared" si="9"/>
        <v>738400</v>
      </c>
      <c r="S11" s="30">
        <f t="shared" si="9"/>
        <v>923000</v>
      </c>
      <c r="T11" s="30">
        <f t="shared" si="9"/>
        <v>1248450</v>
      </c>
      <c r="U11" s="30">
        <f t="shared" si="9"/>
        <v>2039199.9999999998</v>
      </c>
      <c r="V11" s="30">
        <f t="shared" si="9"/>
        <v>2377829.9999999995</v>
      </c>
      <c r="W11" s="30">
        <f t="shared" si="9"/>
        <v>2709724.4999999995</v>
      </c>
      <c r="X11" s="30">
        <f t="shared" si="9"/>
        <v>3090164.1749999989</v>
      </c>
      <c r="Y11" s="30">
        <f t="shared" si="9"/>
        <v>3526368.8512499989</v>
      </c>
      <c r="Z11" s="30">
        <f t="shared" si="9"/>
        <v>2803457.1280874992</v>
      </c>
      <c r="AA11" s="30">
        <f t="shared" si="9"/>
        <v>1908803.8256250001</v>
      </c>
      <c r="AB11" s="30">
        <f t="shared" si="9"/>
        <v>1549984.01690625</v>
      </c>
      <c r="AC11" s="16">
        <f>SUM(Q11:AB11)</f>
        <v>23348582.496868744</v>
      </c>
    </row>
    <row r="12" spans="1:29" ht="18.75" x14ac:dyDescent="0.3">
      <c r="A12" s="46"/>
      <c r="B12" s="31" t="s">
        <v>20</v>
      </c>
      <c r="C12" s="31" t="s">
        <v>21</v>
      </c>
      <c r="D12" s="56">
        <f>D6*0.7*390+D6*1500*0.3</f>
        <v>104835</v>
      </c>
      <c r="E12" s="32">
        <f>E6*0.7*390+E6*1500*0.3</f>
        <v>193764</v>
      </c>
      <c r="F12" s="56">
        <f t="shared" ref="F12:O12" si="11">F6*0.7*390+F6*1500*0.3</f>
        <v>249435</v>
      </c>
      <c r="G12" s="32">
        <f>G6*0.5*390+G6*1500*0.5</f>
        <v>423360</v>
      </c>
      <c r="H12" s="32">
        <f t="shared" ref="H12:K12" si="12">H6*0.5*390+H6*1500*0.5</f>
        <v>479115</v>
      </c>
      <c r="I12" s="32">
        <f t="shared" si="12"/>
        <v>737100</v>
      </c>
      <c r="J12" s="32">
        <f t="shared" si="12"/>
        <v>767340</v>
      </c>
      <c r="K12" s="32">
        <f t="shared" si="12"/>
        <v>874125</v>
      </c>
      <c r="L12" s="32">
        <f t="shared" si="11"/>
        <v>548034</v>
      </c>
      <c r="M12" s="32">
        <f t="shared" si="11"/>
        <v>491640</v>
      </c>
      <c r="N12" s="32">
        <f t="shared" si="11"/>
        <v>401988</v>
      </c>
      <c r="O12" s="32">
        <f t="shared" si="11"/>
        <v>444645</v>
      </c>
      <c r="P12" s="17"/>
      <c r="Q12" s="32">
        <f>Q6*0.7*390+Q6*1500*0.3</f>
        <v>289200</v>
      </c>
      <c r="R12" s="32">
        <f t="shared" ref="R12:AB12" si="13">R6*0.7*390+R6*1500*0.3</f>
        <v>578400</v>
      </c>
      <c r="S12" s="32">
        <f t="shared" si="13"/>
        <v>723000</v>
      </c>
      <c r="T12" s="32">
        <f>T6*0.7*390+T6*1500*0.3</f>
        <v>1012200</v>
      </c>
      <c r="U12" s="32">
        <f>U6*0.5*390+U6*1500*0.5</f>
        <v>1852199.9999999998</v>
      </c>
      <c r="V12" s="32">
        <f t="shared" ref="V12:Y12" si="14">V6*0.5*390+V6*1500*0.5</f>
        <v>2130029.9999999995</v>
      </c>
      <c r="W12" s="32">
        <f t="shared" si="14"/>
        <v>2449534.4999999995</v>
      </c>
      <c r="X12" s="32">
        <f t="shared" si="14"/>
        <v>2816964.6749999989</v>
      </c>
      <c r="Y12" s="32">
        <f t="shared" si="14"/>
        <v>3239509.3762499988</v>
      </c>
      <c r="Z12" s="32">
        <f t="shared" si="13"/>
        <v>2602405.865587499</v>
      </c>
      <c r="AA12" s="32">
        <f t="shared" si="13"/>
        <v>1735200</v>
      </c>
      <c r="AB12" s="32">
        <f t="shared" si="13"/>
        <v>1373700</v>
      </c>
      <c r="AC12" s="17"/>
    </row>
    <row r="13" spans="1:29" ht="18.75" x14ac:dyDescent="0.3">
      <c r="A13" s="46"/>
      <c r="B13" s="31" t="s">
        <v>22</v>
      </c>
      <c r="C13" s="31" t="s">
        <v>23</v>
      </c>
      <c r="D13" s="56">
        <f>2*300*D7</f>
        <v>12000</v>
      </c>
      <c r="E13" s="32">
        <f t="shared" ref="E13:N13" si="15">2*300*E7</f>
        <v>27000</v>
      </c>
      <c r="F13" s="56">
        <f t="shared" si="15"/>
        <v>36000</v>
      </c>
      <c r="G13" s="32">
        <f t="shared" si="15"/>
        <v>43200</v>
      </c>
      <c r="H13" s="32">
        <f t="shared" si="15"/>
        <v>48000</v>
      </c>
      <c r="I13" s="32">
        <f t="shared" si="15"/>
        <v>72000</v>
      </c>
      <c r="J13" s="32">
        <f t="shared" si="15"/>
        <v>78000</v>
      </c>
      <c r="K13" s="32">
        <f t="shared" si="15"/>
        <v>72000</v>
      </c>
      <c r="L13" s="32">
        <f t="shared" si="15"/>
        <v>90000</v>
      </c>
      <c r="M13" s="32">
        <f t="shared" si="15"/>
        <v>90000</v>
      </c>
      <c r="N13" s="32">
        <f t="shared" si="15"/>
        <v>60000</v>
      </c>
      <c r="O13" s="32">
        <f>2*300*O7</f>
        <v>48000</v>
      </c>
      <c r="P13" s="17"/>
      <c r="Q13" s="32">
        <f>2*300*Q7</f>
        <v>54000</v>
      </c>
      <c r="R13" s="32">
        <f t="shared" ref="R13:AB13" si="16">2*300*R7</f>
        <v>60000</v>
      </c>
      <c r="S13" s="32">
        <f t="shared" si="16"/>
        <v>75000</v>
      </c>
      <c r="T13" s="32">
        <f t="shared" si="16"/>
        <v>105000</v>
      </c>
      <c r="U13" s="32">
        <f t="shared" si="16"/>
        <v>146999.99999999997</v>
      </c>
      <c r="V13" s="32">
        <f t="shared" si="16"/>
        <v>205799.99999999997</v>
      </c>
      <c r="W13" s="32">
        <f t="shared" si="16"/>
        <v>216090</v>
      </c>
      <c r="X13" s="32">
        <f t="shared" si="16"/>
        <v>226894.49999999997</v>
      </c>
      <c r="Y13" s="32">
        <f t="shared" si="16"/>
        <v>238239.22499999998</v>
      </c>
      <c r="Z13" s="32">
        <f t="shared" si="16"/>
        <v>150000</v>
      </c>
      <c r="AA13" s="32">
        <f t="shared" si="16"/>
        <v>120000</v>
      </c>
      <c r="AB13" s="32">
        <f t="shared" si="16"/>
        <v>120000</v>
      </c>
      <c r="AC13" s="17"/>
    </row>
    <row r="14" spans="1:29" ht="18.75" x14ac:dyDescent="0.3">
      <c r="A14" s="46"/>
      <c r="B14" s="31" t="s">
        <v>24</v>
      </c>
      <c r="C14" s="31" t="s">
        <v>95</v>
      </c>
      <c r="D14" s="56">
        <f>D8*2000</f>
        <v>4000</v>
      </c>
      <c r="E14" s="32">
        <f t="shared" ref="E14:AB14" si="17">E8*2000</f>
        <v>16000</v>
      </c>
      <c r="F14" s="32">
        <f t="shared" si="17"/>
        <v>30000</v>
      </c>
      <c r="G14" s="32">
        <f>G8*2000</f>
        <v>24000</v>
      </c>
      <c r="H14" s="32">
        <f t="shared" si="17"/>
        <v>28799.999999999996</v>
      </c>
      <c r="I14" s="32">
        <f t="shared" si="17"/>
        <v>34559.999999999993</v>
      </c>
      <c r="J14" s="32">
        <f t="shared" si="17"/>
        <v>41471.999999999993</v>
      </c>
      <c r="K14" s="32">
        <f t="shared" si="17"/>
        <v>49766.399999999987</v>
      </c>
      <c r="L14" s="32">
        <f t="shared" si="17"/>
        <v>59719.679999999986</v>
      </c>
      <c r="M14" s="32">
        <f t="shared" si="17"/>
        <v>71663.61599999998</v>
      </c>
      <c r="N14" s="32">
        <f t="shared" si="17"/>
        <v>85996.339199999959</v>
      </c>
      <c r="O14" s="32">
        <f t="shared" si="17"/>
        <v>103195.60703999996</v>
      </c>
      <c r="P14" s="17"/>
      <c r="Q14" s="32">
        <f t="shared" si="17"/>
        <v>90000</v>
      </c>
      <c r="R14" s="32">
        <f t="shared" si="17"/>
        <v>100000</v>
      </c>
      <c r="S14" s="32">
        <f t="shared" si="17"/>
        <v>125000</v>
      </c>
      <c r="T14" s="32">
        <f t="shared" si="17"/>
        <v>131250</v>
      </c>
      <c r="U14" s="32">
        <f t="shared" si="17"/>
        <v>40000</v>
      </c>
      <c r="V14" s="32">
        <f t="shared" si="17"/>
        <v>42000</v>
      </c>
      <c r="W14" s="32">
        <f t="shared" si="17"/>
        <v>44100</v>
      </c>
      <c r="X14" s="32">
        <f t="shared" si="17"/>
        <v>46305.000000000007</v>
      </c>
      <c r="Y14" s="32">
        <f t="shared" si="17"/>
        <v>48620.250000000007</v>
      </c>
      <c r="Z14" s="32">
        <f t="shared" si="17"/>
        <v>51051.262500000004</v>
      </c>
      <c r="AA14" s="32">
        <f t="shared" si="17"/>
        <v>53603.825625000012</v>
      </c>
      <c r="AB14" s="32">
        <f t="shared" si="17"/>
        <v>56284.016906250014</v>
      </c>
      <c r="AC14" s="17"/>
    </row>
    <row r="15" spans="1:29" ht="18.75" x14ac:dyDescent="0.3">
      <c r="A15" s="46"/>
      <c r="B15" s="10" t="s">
        <v>19</v>
      </c>
      <c r="C15" s="11"/>
      <c r="D15" s="57">
        <f>SUM(D16:D18)</f>
        <v>18725.25</v>
      </c>
      <c r="E15" s="33">
        <f t="shared" ref="E15:AB15" si="18">SUM(E16:E18)</f>
        <v>36864.6</v>
      </c>
      <c r="F15" s="33">
        <f t="shared" si="18"/>
        <v>49115.25</v>
      </c>
      <c r="G15" s="33">
        <f t="shared" si="18"/>
        <v>75744</v>
      </c>
      <c r="H15" s="33">
        <f t="shared" si="18"/>
        <v>85787.25</v>
      </c>
      <c r="I15" s="33">
        <f t="shared" si="18"/>
        <v>130149</v>
      </c>
      <c r="J15" s="33">
        <f t="shared" si="18"/>
        <v>136921.79999999999</v>
      </c>
      <c r="K15" s="33">
        <f t="shared" si="18"/>
        <v>152983.71</v>
      </c>
      <c r="L15" s="33">
        <f t="shared" si="18"/>
        <v>109163.052</v>
      </c>
      <c r="M15" s="33">
        <f t="shared" si="18"/>
        <v>102495.54239999999</v>
      </c>
      <c r="N15" s="33">
        <f t="shared" si="18"/>
        <v>85197.650879999987</v>
      </c>
      <c r="O15" s="33">
        <f t="shared" si="18"/>
        <v>91776.09105599999</v>
      </c>
      <c r="P15" s="16">
        <f>SUM(D15:O15)</f>
        <v>1074923.196336</v>
      </c>
      <c r="Q15" s="33">
        <f t="shared" si="18"/>
        <v>67680</v>
      </c>
      <c r="R15" s="33">
        <f t="shared" si="18"/>
        <v>113760</v>
      </c>
      <c r="S15" s="33">
        <f t="shared" si="18"/>
        <v>142200</v>
      </c>
      <c r="T15" s="33">
        <f t="shared" si="18"/>
        <v>192517.5</v>
      </c>
      <c r="U15" s="33">
        <f t="shared" si="18"/>
        <v>313229.99999999994</v>
      </c>
      <c r="V15" s="33">
        <f t="shared" si="18"/>
        <v>366964.49999999994</v>
      </c>
      <c r="W15" s="33">
        <f t="shared" si="18"/>
        <v>417263.17499999993</v>
      </c>
      <c r="X15" s="33">
        <f t="shared" si="18"/>
        <v>474869.35124999983</v>
      </c>
      <c r="Y15" s="33">
        <f t="shared" si="18"/>
        <v>540867.28893749975</v>
      </c>
      <c r="Z15" s="33">
        <f t="shared" si="18"/>
        <v>428018.56921312487</v>
      </c>
      <c r="AA15" s="33">
        <f t="shared" si="18"/>
        <v>292320.57384375</v>
      </c>
      <c r="AB15" s="33">
        <f t="shared" si="18"/>
        <v>238497.60253593751</v>
      </c>
      <c r="AC15" s="16">
        <f>SUM(Q15:AB15)</f>
        <v>3588188.5607803119</v>
      </c>
    </row>
    <row r="16" spans="1:29" ht="18.75" x14ac:dyDescent="0.3">
      <c r="A16" s="46"/>
      <c r="B16" s="31" t="s">
        <v>73</v>
      </c>
      <c r="C16" s="31" t="s">
        <v>21</v>
      </c>
      <c r="D16" s="56">
        <f>D12*0.15</f>
        <v>15725.25</v>
      </c>
      <c r="E16" s="32">
        <f t="shared" ref="E16:O16" si="19">E12*0.15</f>
        <v>29064.6</v>
      </c>
      <c r="F16" s="56">
        <f t="shared" si="19"/>
        <v>37415.25</v>
      </c>
      <c r="G16" s="32">
        <f t="shared" si="19"/>
        <v>63504</v>
      </c>
      <c r="H16" s="32">
        <f t="shared" si="19"/>
        <v>71867.25</v>
      </c>
      <c r="I16" s="32">
        <f t="shared" si="19"/>
        <v>110565</v>
      </c>
      <c r="J16" s="32">
        <f t="shared" si="19"/>
        <v>115101</v>
      </c>
      <c r="K16" s="32">
        <f t="shared" si="19"/>
        <v>131118.75</v>
      </c>
      <c r="L16" s="32">
        <f t="shared" si="19"/>
        <v>82205.099999999991</v>
      </c>
      <c r="M16" s="32">
        <f t="shared" si="19"/>
        <v>73746</v>
      </c>
      <c r="N16" s="32">
        <f t="shared" si="19"/>
        <v>60298.2</v>
      </c>
      <c r="O16" s="32">
        <f t="shared" si="19"/>
        <v>66696.75</v>
      </c>
      <c r="P16" s="17"/>
      <c r="Q16" s="32">
        <f>Q12*0.15</f>
        <v>43380</v>
      </c>
      <c r="R16" s="32">
        <f t="shared" ref="R16:AB16" si="20">R12*0.15</f>
        <v>86760</v>
      </c>
      <c r="S16" s="32">
        <f t="shared" si="20"/>
        <v>108450</v>
      </c>
      <c r="T16" s="32">
        <f t="shared" si="20"/>
        <v>151830</v>
      </c>
      <c r="U16" s="32">
        <f t="shared" si="20"/>
        <v>277829.99999999994</v>
      </c>
      <c r="V16" s="32">
        <f t="shared" si="20"/>
        <v>319504.49999999994</v>
      </c>
      <c r="W16" s="32">
        <f t="shared" si="20"/>
        <v>367430.17499999993</v>
      </c>
      <c r="X16" s="32">
        <f t="shared" si="20"/>
        <v>422544.70124999981</v>
      </c>
      <c r="Y16" s="32">
        <f t="shared" si="20"/>
        <v>485926.4064374998</v>
      </c>
      <c r="Z16" s="32">
        <f t="shared" si="20"/>
        <v>390360.87983812485</v>
      </c>
      <c r="AA16" s="32">
        <f t="shared" si="20"/>
        <v>260280</v>
      </c>
      <c r="AB16" s="32">
        <f t="shared" si="20"/>
        <v>206055</v>
      </c>
      <c r="AC16" s="17"/>
    </row>
    <row r="17" spans="1:29" ht="18.75" x14ac:dyDescent="0.3">
      <c r="A17" s="46"/>
      <c r="B17" s="31" t="s">
        <v>74</v>
      </c>
      <c r="C17" s="31" t="s">
        <v>23</v>
      </c>
      <c r="D17" s="56">
        <f>D13*0.2</f>
        <v>2400</v>
      </c>
      <c r="E17" s="32">
        <f t="shared" ref="E17:O17" si="21">E13*0.2</f>
        <v>5400</v>
      </c>
      <c r="F17" s="56">
        <f t="shared" si="21"/>
        <v>7200</v>
      </c>
      <c r="G17" s="32">
        <f t="shared" si="21"/>
        <v>8640</v>
      </c>
      <c r="H17" s="32">
        <f t="shared" si="21"/>
        <v>9600</v>
      </c>
      <c r="I17" s="32">
        <f t="shared" si="21"/>
        <v>14400</v>
      </c>
      <c r="J17" s="32">
        <f t="shared" si="21"/>
        <v>15600</v>
      </c>
      <c r="K17" s="32">
        <f t="shared" si="21"/>
        <v>14400</v>
      </c>
      <c r="L17" s="32">
        <f t="shared" si="21"/>
        <v>18000</v>
      </c>
      <c r="M17" s="32">
        <f t="shared" si="21"/>
        <v>18000</v>
      </c>
      <c r="N17" s="32">
        <f>N13*0.2</f>
        <v>12000</v>
      </c>
      <c r="O17" s="32">
        <f t="shared" si="21"/>
        <v>9600</v>
      </c>
      <c r="P17" s="17"/>
      <c r="Q17" s="32">
        <f>Q13*0.2</f>
        <v>10800</v>
      </c>
      <c r="R17" s="32">
        <f t="shared" ref="R17:AB17" si="22">R13*0.2</f>
        <v>12000</v>
      </c>
      <c r="S17" s="32">
        <f t="shared" si="22"/>
        <v>15000</v>
      </c>
      <c r="T17" s="32">
        <f t="shared" si="22"/>
        <v>21000</v>
      </c>
      <c r="U17" s="32">
        <f t="shared" si="22"/>
        <v>29399.999999999996</v>
      </c>
      <c r="V17" s="32">
        <f t="shared" si="22"/>
        <v>41160</v>
      </c>
      <c r="W17" s="32">
        <f t="shared" si="22"/>
        <v>43218</v>
      </c>
      <c r="X17" s="32">
        <f t="shared" si="22"/>
        <v>45378.899999999994</v>
      </c>
      <c r="Y17" s="32">
        <f t="shared" si="22"/>
        <v>47647.845000000001</v>
      </c>
      <c r="Z17" s="32">
        <f t="shared" si="22"/>
        <v>30000</v>
      </c>
      <c r="AA17" s="32">
        <f t="shared" si="22"/>
        <v>24000</v>
      </c>
      <c r="AB17" s="32">
        <f t="shared" si="22"/>
        <v>24000</v>
      </c>
      <c r="AC17" s="17"/>
    </row>
    <row r="18" spans="1:29" ht="18.75" x14ac:dyDescent="0.3">
      <c r="A18" s="46"/>
      <c r="B18" s="31" t="s">
        <v>75</v>
      </c>
      <c r="C18" s="31" t="s">
        <v>65</v>
      </c>
      <c r="D18" s="56">
        <f>D14*0.15</f>
        <v>600</v>
      </c>
      <c r="E18" s="32">
        <f t="shared" ref="E18:O18" si="23">E14*0.15</f>
        <v>2400</v>
      </c>
      <c r="F18" s="56">
        <f t="shared" si="23"/>
        <v>4500</v>
      </c>
      <c r="G18" s="32">
        <f t="shared" si="23"/>
        <v>3600</v>
      </c>
      <c r="H18" s="32">
        <f t="shared" si="23"/>
        <v>4319.9999999999991</v>
      </c>
      <c r="I18" s="32">
        <f t="shared" si="23"/>
        <v>5183.9999999999991</v>
      </c>
      <c r="J18" s="32">
        <f t="shared" si="23"/>
        <v>6220.7999999999984</v>
      </c>
      <c r="K18" s="32">
        <f>K14*0.15</f>
        <v>7464.9599999999973</v>
      </c>
      <c r="L18" s="32">
        <f t="shared" si="23"/>
        <v>8957.9519999999975</v>
      </c>
      <c r="M18" s="32">
        <f t="shared" si="23"/>
        <v>10749.542399999997</v>
      </c>
      <c r="N18" s="32">
        <f t="shared" si="23"/>
        <v>12899.450879999993</v>
      </c>
      <c r="O18" s="32">
        <f t="shared" si="23"/>
        <v>15479.341055999994</v>
      </c>
      <c r="P18" s="17"/>
      <c r="Q18" s="32">
        <f>Q14*0.15</f>
        <v>13500</v>
      </c>
      <c r="R18" s="32">
        <f t="shared" ref="R18:AA18" si="24">R14*0.15</f>
        <v>15000</v>
      </c>
      <c r="S18" s="32">
        <f t="shared" si="24"/>
        <v>18750</v>
      </c>
      <c r="T18" s="32">
        <f t="shared" si="24"/>
        <v>19687.5</v>
      </c>
      <c r="U18" s="32">
        <f t="shared" si="24"/>
        <v>6000</v>
      </c>
      <c r="V18" s="32">
        <f t="shared" si="24"/>
        <v>6300</v>
      </c>
      <c r="W18" s="32">
        <f t="shared" si="24"/>
        <v>6615</v>
      </c>
      <c r="X18" s="32">
        <f t="shared" si="24"/>
        <v>6945.7500000000009</v>
      </c>
      <c r="Y18" s="32">
        <f t="shared" si="24"/>
        <v>7293.0375000000013</v>
      </c>
      <c r="Z18" s="32">
        <f t="shared" si="24"/>
        <v>7657.6893749999999</v>
      </c>
      <c r="AA18" s="32">
        <f t="shared" si="24"/>
        <v>8040.5738437500013</v>
      </c>
      <c r="AB18" s="32">
        <f>AB14*0.15</f>
        <v>8442.6025359375017</v>
      </c>
      <c r="AC18" s="17"/>
    </row>
    <row r="19" spans="1:29" ht="18.75" x14ac:dyDescent="0.3">
      <c r="A19" s="46">
        <v>2</v>
      </c>
      <c r="B19" s="10" t="s">
        <v>25</v>
      </c>
      <c r="C19" s="11"/>
      <c r="D19" s="57">
        <f>SUM(D23:D24,D21)</f>
        <v>8458.4500000000007</v>
      </c>
      <c r="E19" s="33">
        <f t="shared" ref="E19:AB19" si="25">SUM(E23:E24,E21)</f>
        <v>16573.48</v>
      </c>
      <c r="F19" s="33">
        <f t="shared" si="25"/>
        <v>22080.449999999997</v>
      </c>
      <c r="G19" s="33">
        <f t="shared" si="25"/>
        <v>34339.199999999997</v>
      </c>
      <c r="H19" s="33">
        <f t="shared" si="25"/>
        <v>38914.050000000003</v>
      </c>
      <c r="I19" s="33">
        <f t="shared" si="25"/>
        <v>59056.2</v>
      </c>
      <c r="J19" s="33">
        <f t="shared" si="25"/>
        <v>62076.840000000004</v>
      </c>
      <c r="K19" s="33">
        <f t="shared" si="25"/>
        <v>69712.398000000001</v>
      </c>
      <c r="L19" s="33">
        <f t="shared" si="25"/>
        <v>48842.757599999997</v>
      </c>
      <c r="M19" s="33">
        <f t="shared" si="25"/>
        <v>45731.253119999994</v>
      </c>
      <c r="N19" s="33">
        <f t="shared" si="25"/>
        <v>38358.903743999996</v>
      </c>
      <c r="O19" s="33">
        <f t="shared" si="25"/>
        <v>41708.842492799995</v>
      </c>
      <c r="P19" s="16">
        <f>SUM(D19:O19)</f>
        <v>485852.82495679997</v>
      </c>
      <c r="Q19" s="33">
        <f t="shared" si="25"/>
        <v>30324</v>
      </c>
      <c r="R19" s="33">
        <f t="shared" si="25"/>
        <v>51688</v>
      </c>
      <c r="S19" s="33">
        <f t="shared" si="25"/>
        <v>64610</v>
      </c>
      <c r="T19" s="33">
        <f t="shared" si="25"/>
        <v>87391.5</v>
      </c>
      <c r="U19" s="33">
        <f t="shared" si="25"/>
        <v>142743.99999999997</v>
      </c>
      <c r="V19" s="33">
        <f t="shared" si="25"/>
        <v>110113.19999999998</v>
      </c>
      <c r="W19" s="33">
        <f t="shared" si="25"/>
        <v>123388.97999999998</v>
      </c>
      <c r="X19" s="33">
        <f t="shared" si="25"/>
        <v>153606.56699999995</v>
      </c>
      <c r="Y19" s="33">
        <f t="shared" si="25"/>
        <v>171054.75404999996</v>
      </c>
      <c r="Z19" s="33">
        <f t="shared" si="25"/>
        <v>142138.28512349998</v>
      </c>
      <c r="AA19" s="33">
        <f t="shared" si="25"/>
        <v>106352.15302500001</v>
      </c>
      <c r="AB19" s="33">
        <f t="shared" si="25"/>
        <v>91999.360676250013</v>
      </c>
      <c r="AC19" s="16">
        <f>SUM(Q19:AB19)</f>
        <v>1275410.79987475</v>
      </c>
    </row>
    <row r="20" spans="1:29" ht="18.75" x14ac:dyDescent="0.3">
      <c r="A20" s="46"/>
      <c r="B20" s="34"/>
      <c r="C20" s="4" t="s">
        <v>26</v>
      </c>
      <c r="D20" s="56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7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7"/>
    </row>
    <row r="21" spans="1:29" ht="18.75" x14ac:dyDescent="0.3">
      <c r="A21" s="46"/>
      <c r="B21" s="35" t="s">
        <v>27</v>
      </c>
      <c r="C21" s="31" t="s">
        <v>66</v>
      </c>
      <c r="D21" s="56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17"/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15000</v>
      </c>
      <c r="W21" s="32">
        <v>15000</v>
      </c>
      <c r="X21" s="32">
        <v>30000</v>
      </c>
      <c r="Y21" s="32">
        <v>30000</v>
      </c>
      <c r="Z21" s="32">
        <v>30000</v>
      </c>
      <c r="AA21" s="32">
        <v>30000</v>
      </c>
      <c r="AB21" s="32">
        <v>30000</v>
      </c>
      <c r="AC21" s="17"/>
    </row>
    <row r="22" spans="1:29" ht="18.75" x14ac:dyDescent="0.3">
      <c r="A22" s="46"/>
      <c r="B22" s="31"/>
      <c r="C22" s="31" t="s">
        <v>67</v>
      </c>
      <c r="D22" s="5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7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17"/>
    </row>
    <row r="23" spans="1:29" ht="18.75" x14ac:dyDescent="0.3">
      <c r="A23" s="46"/>
      <c r="B23" s="35" t="s">
        <v>28</v>
      </c>
      <c r="C23" s="31" t="s">
        <v>29</v>
      </c>
      <c r="D23" s="56">
        <f>D11*0.04</f>
        <v>4833.4000000000005</v>
      </c>
      <c r="E23" s="32">
        <f t="shared" ref="E23:AB23" si="26">E11*0.04</f>
        <v>9470.56</v>
      </c>
      <c r="F23" s="32">
        <f>F11*0.04</f>
        <v>12617.4</v>
      </c>
      <c r="G23" s="32">
        <f t="shared" ref="G23:K23" si="27">G11*0.04</f>
        <v>19622.400000000001</v>
      </c>
      <c r="H23" s="32">
        <f t="shared" si="27"/>
        <v>22236.600000000002</v>
      </c>
      <c r="I23" s="32">
        <f t="shared" si="27"/>
        <v>33746.400000000001</v>
      </c>
      <c r="J23" s="32">
        <f t="shared" si="27"/>
        <v>35472.480000000003</v>
      </c>
      <c r="K23" s="32">
        <f t="shared" si="27"/>
        <v>39835.656000000003</v>
      </c>
      <c r="L23" s="32">
        <f t="shared" si="26"/>
        <v>27910.147199999999</v>
      </c>
      <c r="M23" s="32">
        <f t="shared" si="26"/>
        <v>26132.144639999999</v>
      </c>
      <c r="N23" s="32">
        <f t="shared" si="26"/>
        <v>21919.373567999999</v>
      </c>
      <c r="O23" s="32">
        <f t="shared" si="26"/>
        <v>23833.624281599998</v>
      </c>
      <c r="P23" s="17"/>
      <c r="Q23" s="32">
        <f t="shared" si="26"/>
        <v>17328</v>
      </c>
      <c r="R23" s="32">
        <f t="shared" si="26"/>
        <v>29536</v>
      </c>
      <c r="S23" s="32">
        <f t="shared" si="26"/>
        <v>36920</v>
      </c>
      <c r="T23" s="32">
        <f t="shared" si="26"/>
        <v>49938</v>
      </c>
      <c r="U23" s="32">
        <f t="shared" si="26"/>
        <v>81567.999999999985</v>
      </c>
      <c r="V23" s="32">
        <f t="shared" si="26"/>
        <v>95113.199999999983</v>
      </c>
      <c r="W23" s="32">
        <f t="shared" si="26"/>
        <v>108388.97999999998</v>
      </c>
      <c r="X23" s="32">
        <f t="shared" si="26"/>
        <v>123606.56699999995</v>
      </c>
      <c r="Y23" s="32">
        <f t="shared" si="26"/>
        <v>141054.75404999996</v>
      </c>
      <c r="Z23" s="32">
        <f t="shared" si="26"/>
        <v>112138.28512349997</v>
      </c>
      <c r="AA23" s="32">
        <f t="shared" si="26"/>
        <v>76352.153025000007</v>
      </c>
      <c r="AB23" s="32">
        <f t="shared" si="26"/>
        <v>61999.360676250006</v>
      </c>
      <c r="AC23" s="17"/>
    </row>
    <row r="24" spans="1:29" ht="18.75" x14ac:dyDescent="0.3">
      <c r="A24" s="46"/>
      <c r="B24" s="34" t="s">
        <v>30</v>
      </c>
      <c r="C24" s="31" t="s">
        <v>31</v>
      </c>
      <c r="D24" s="56">
        <f t="shared" ref="D24:O24" si="28">D11*0.03</f>
        <v>3625.0499999999997</v>
      </c>
      <c r="E24" s="32">
        <f t="shared" si="28"/>
        <v>7102.92</v>
      </c>
      <c r="F24" s="32">
        <f t="shared" si="28"/>
        <v>9463.0499999999993</v>
      </c>
      <c r="G24" s="32">
        <f t="shared" si="28"/>
        <v>14716.8</v>
      </c>
      <c r="H24" s="32">
        <f t="shared" si="28"/>
        <v>16677.45</v>
      </c>
      <c r="I24" s="32">
        <f t="shared" si="28"/>
        <v>25309.8</v>
      </c>
      <c r="J24" s="32">
        <f t="shared" si="28"/>
        <v>26604.36</v>
      </c>
      <c r="K24" s="32">
        <f t="shared" si="28"/>
        <v>29876.741999999998</v>
      </c>
      <c r="L24" s="32">
        <f t="shared" si="28"/>
        <v>20932.610399999998</v>
      </c>
      <c r="M24" s="32">
        <f t="shared" si="28"/>
        <v>19599.108479999995</v>
      </c>
      <c r="N24" s="32">
        <f t="shared" si="28"/>
        <v>16439.530175999997</v>
      </c>
      <c r="O24" s="32">
        <f t="shared" si="28"/>
        <v>17875.218211199997</v>
      </c>
      <c r="P24" s="17"/>
      <c r="Q24" s="32">
        <f>Q11*0.03</f>
        <v>12996</v>
      </c>
      <c r="R24" s="32">
        <f>R11*0.03</f>
        <v>22152</v>
      </c>
      <c r="S24" s="32">
        <f>S11*0.03</f>
        <v>27690</v>
      </c>
      <c r="T24" s="32">
        <f>T11*0.03</f>
        <v>37453.5</v>
      </c>
      <c r="U24" s="32">
        <f>U11*0.03</f>
        <v>61175.999999999993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17"/>
    </row>
    <row r="25" spans="1:29" ht="18.75" x14ac:dyDescent="0.3">
      <c r="A25" s="46">
        <v>3</v>
      </c>
      <c r="B25" s="10" t="s">
        <v>32</v>
      </c>
      <c r="C25" s="11"/>
      <c r="D25" s="57">
        <f>SUM(D27:D29,D31,D33:D35)</f>
        <v>16170</v>
      </c>
      <c r="E25" s="33">
        <f t="shared" ref="E25:AB25" si="29">SUM(E27:E29,E31,E33:E35)</f>
        <v>16170</v>
      </c>
      <c r="F25" s="33">
        <f t="shared" si="29"/>
        <v>16170</v>
      </c>
      <c r="G25" s="33">
        <f t="shared" si="29"/>
        <v>16170</v>
      </c>
      <c r="H25" s="33">
        <f t="shared" si="29"/>
        <v>16170</v>
      </c>
      <c r="I25" s="33">
        <f t="shared" si="29"/>
        <v>16170</v>
      </c>
      <c r="J25" s="33">
        <f t="shared" si="29"/>
        <v>16170</v>
      </c>
      <c r="K25" s="33">
        <f t="shared" si="29"/>
        <v>22170</v>
      </c>
      <c r="L25" s="33">
        <f t="shared" si="29"/>
        <v>22170</v>
      </c>
      <c r="M25" s="33">
        <f t="shared" si="29"/>
        <v>22170</v>
      </c>
      <c r="N25" s="33">
        <f t="shared" si="29"/>
        <v>22170</v>
      </c>
      <c r="O25" s="33">
        <f t="shared" si="29"/>
        <v>22170</v>
      </c>
      <c r="P25" s="16">
        <f>SUM(D25:O25)</f>
        <v>224040</v>
      </c>
      <c r="Q25" s="33">
        <f t="shared" si="29"/>
        <v>10170</v>
      </c>
      <c r="R25" s="33">
        <f t="shared" si="29"/>
        <v>10170</v>
      </c>
      <c r="S25" s="33">
        <f t="shared" si="29"/>
        <v>15170</v>
      </c>
      <c r="T25" s="33">
        <f t="shared" si="29"/>
        <v>25170</v>
      </c>
      <c r="U25" s="33">
        <f t="shared" si="29"/>
        <v>25170</v>
      </c>
      <c r="V25" s="33">
        <f t="shared" si="29"/>
        <v>32170</v>
      </c>
      <c r="W25" s="33">
        <f t="shared" si="29"/>
        <v>32170</v>
      </c>
      <c r="X25" s="33">
        <f t="shared" si="29"/>
        <v>27170</v>
      </c>
      <c r="Y25" s="33">
        <f t="shared" si="29"/>
        <v>27170</v>
      </c>
      <c r="Z25" s="33">
        <f t="shared" si="29"/>
        <v>27170</v>
      </c>
      <c r="AA25" s="33">
        <f t="shared" si="29"/>
        <v>27170</v>
      </c>
      <c r="AB25" s="33">
        <f t="shared" si="29"/>
        <v>27170</v>
      </c>
      <c r="AC25" s="16">
        <f>SUM(Q25:AB25)</f>
        <v>286040</v>
      </c>
    </row>
    <row r="26" spans="1:29" ht="18.75" x14ac:dyDescent="0.3">
      <c r="A26" s="46"/>
      <c r="B26" s="34" t="s">
        <v>68</v>
      </c>
      <c r="C26" s="4"/>
      <c r="D26" s="56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17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17"/>
    </row>
    <row r="27" spans="1:29" ht="18.75" x14ac:dyDescent="0.3">
      <c r="A27" s="46"/>
      <c r="B27" s="31" t="s">
        <v>33</v>
      </c>
      <c r="C27" s="48" t="s">
        <v>69</v>
      </c>
      <c r="D27" s="56">
        <v>10000</v>
      </c>
      <c r="E27" s="32">
        <v>10000</v>
      </c>
      <c r="F27" s="56">
        <v>10000</v>
      </c>
      <c r="G27" s="32">
        <v>10000</v>
      </c>
      <c r="H27" s="32">
        <v>10000</v>
      </c>
      <c r="I27" s="32">
        <v>10000</v>
      </c>
      <c r="J27" s="32">
        <v>10000</v>
      </c>
      <c r="K27" s="32">
        <v>10000</v>
      </c>
      <c r="L27" s="32">
        <v>10000</v>
      </c>
      <c r="M27" s="32">
        <v>10000</v>
      </c>
      <c r="N27" s="32">
        <v>10000</v>
      </c>
      <c r="O27" s="32">
        <v>10000</v>
      </c>
      <c r="P27" s="17"/>
      <c r="Q27" s="32">
        <v>5000</v>
      </c>
      <c r="R27" s="32">
        <v>5000</v>
      </c>
      <c r="S27" s="32">
        <v>10000</v>
      </c>
      <c r="T27" s="32">
        <v>20000</v>
      </c>
      <c r="U27" s="32">
        <v>20000</v>
      </c>
      <c r="V27" s="32">
        <v>20000</v>
      </c>
      <c r="W27" s="32">
        <v>20000</v>
      </c>
      <c r="X27" s="32">
        <v>15000</v>
      </c>
      <c r="Y27" s="32">
        <v>15000</v>
      </c>
      <c r="Z27" s="32">
        <v>15000</v>
      </c>
      <c r="AA27" s="32">
        <v>15000</v>
      </c>
      <c r="AB27" s="32">
        <v>15000</v>
      </c>
      <c r="AC27" s="17"/>
    </row>
    <row r="28" spans="1:29" ht="18.75" x14ac:dyDescent="0.3">
      <c r="A28" s="46"/>
      <c r="B28" s="31" t="s">
        <v>34</v>
      </c>
      <c r="C28" s="31" t="s">
        <v>70</v>
      </c>
      <c r="D28" s="56">
        <v>1000</v>
      </c>
      <c r="E28" s="32">
        <v>1000</v>
      </c>
      <c r="F28" s="56">
        <v>1000</v>
      </c>
      <c r="G28" s="32">
        <v>1000</v>
      </c>
      <c r="H28" s="32">
        <v>1000</v>
      </c>
      <c r="I28" s="32">
        <v>1000</v>
      </c>
      <c r="J28" s="32">
        <v>1000</v>
      </c>
      <c r="K28" s="32">
        <v>1000</v>
      </c>
      <c r="L28" s="32">
        <v>1000</v>
      </c>
      <c r="M28" s="32">
        <v>1000</v>
      </c>
      <c r="N28" s="32">
        <v>1000</v>
      </c>
      <c r="O28" s="32">
        <v>1000</v>
      </c>
      <c r="P28" s="17"/>
      <c r="Q28" s="32">
        <v>2000</v>
      </c>
      <c r="R28" s="32">
        <v>2000</v>
      </c>
      <c r="S28" s="32">
        <v>2000</v>
      </c>
      <c r="T28" s="32">
        <v>2000</v>
      </c>
      <c r="U28" s="32">
        <v>2000</v>
      </c>
      <c r="V28" s="32">
        <v>2000</v>
      </c>
      <c r="W28" s="32">
        <v>2000</v>
      </c>
      <c r="X28" s="32">
        <v>2000</v>
      </c>
      <c r="Y28" s="32">
        <v>2000</v>
      </c>
      <c r="Z28" s="32">
        <v>2000</v>
      </c>
      <c r="AA28" s="32">
        <v>2000</v>
      </c>
      <c r="AB28" s="32">
        <v>2000</v>
      </c>
      <c r="AC28" s="17"/>
    </row>
    <row r="29" spans="1:29" ht="18.75" x14ac:dyDescent="0.3">
      <c r="A29" s="46"/>
      <c r="B29" s="31" t="s">
        <v>35</v>
      </c>
      <c r="C29" s="31" t="s">
        <v>71</v>
      </c>
      <c r="D29" s="56">
        <v>4000</v>
      </c>
      <c r="E29" s="32">
        <v>4000</v>
      </c>
      <c r="F29" s="56">
        <v>4000</v>
      </c>
      <c r="G29" s="32">
        <v>4000</v>
      </c>
      <c r="H29" s="32">
        <v>4000</v>
      </c>
      <c r="I29" s="32">
        <v>4000</v>
      </c>
      <c r="J29" s="32">
        <v>4000</v>
      </c>
      <c r="K29" s="32">
        <v>10000</v>
      </c>
      <c r="L29" s="32">
        <v>10000</v>
      </c>
      <c r="M29" s="32">
        <v>10000</v>
      </c>
      <c r="N29" s="32">
        <v>10000</v>
      </c>
      <c r="O29" s="32">
        <v>10000</v>
      </c>
      <c r="P29" s="17"/>
      <c r="Q29" s="32">
        <v>2000</v>
      </c>
      <c r="R29" s="32">
        <v>2000</v>
      </c>
      <c r="S29" s="32">
        <v>2000</v>
      </c>
      <c r="T29" s="32">
        <v>2000</v>
      </c>
      <c r="U29" s="32">
        <v>2000</v>
      </c>
      <c r="V29" s="32">
        <v>4000</v>
      </c>
      <c r="W29" s="32">
        <v>4000</v>
      </c>
      <c r="X29" s="32">
        <v>4000</v>
      </c>
      <c r="Y29" s="32">
        <v>4000</v>
      </c>
      <c r="Z29" s="32">
        <v>4000</v>
      </c>
      <c r="AA29" s="32">
        <v>4000</v>
      </c>
      <c r="AB29" s="32">
        <v>4000</v>
      </c>
      <c r="AC29" s="17"/>
    </row>
    <row r="30" spans="1:29" ht="18.75" x14ac:dyDescent="0.3">
      <c r="A30" s="46"/>
      <c r="B30" s="34" t="s">
        <v>7</v>
      </c>
      <c r="C30" s="4"/>
      <c r="D30" s="56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7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17"/>
    </row>
    <row r="31" spans="1:29" ht="18.75" x14ac:dyDescent="0.3">
      <c r="A31" s="46"/>
      <c r="B31" s="31" t="s">
        <v>36</v>
      </c>
      <c r="C31" s="31" t="s">
        <v>37</v>
      </c>
      <c r="D31" s="56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17"/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5000</v>
      </c>
      <c r="W31" s="32">
        <v>5000</v>
      </c>
      <c r="X31" s="32">
        <v>5000</v>
      </c>
      <c r="Y31" s="32">
        <v>5000</v>
      </c>
      <c r="Z31" s="32">
        <v>5000</v>
      </c>
      <c r="AA31" s="32">
        <v>5000</v>
      </c>
      <c r="AB31" s="32">
        <v>5000</v>
      </c>
      <c r="AC31" s="17"/>
    </row>
    <row r="32" spans="1:29" ht="18.75" x14ac:dyDescent="0.3">
      <c r="A32" s="46"/>
      <c r="B32" s="34" t="s">
        <v>38</v>
      </c>
      <c r="C32" s="4"/>
      <c r="D32" s="56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7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17"/>
    </row>
    <row r="33" spans="1:29" ht="18.75" x14ac:dyDescent="0.3">
      <c r="A33" s="46"/>
      <c r="B33" s="31" t="s">
        <v>39</v>
      </c>
      <c r="C33" s="31" t="s">
        <v>40</v>
      </c>
      <c r="D33" s="56">
        <v>180</v>
      </c>
      <c r="E33" s="32">
        <v>180</v>
      </c>
      <c r="F33" s="32">
        <v>180</v>
      </c>
      <c r="G33" s="32">
        <v>180</v>
      </c>
      <c r="H33" s="32">
        <v>180</v>
      </c>
      <c r="I33" s="32">
        <v>180</v>
      </c>
      <c r="J33" s="32">
        <v>180</v>
      </c>
      <c r="K33" s="32">
        <v>180</v>
      </c>
      <c r="L33" s="32">
        <v>180</v>
      </c>
      <c r="M33" s="32">
        <v>180</v>
      </c>
      <c r="N33" s="32">
        <v>180</v>
      </c>
      <c r="O33" s="32">
        <v>180</v>
      </c>
      <c r="P33" s="17"/>
      <c r="Q33" s="32">
        <v>180</v>
      </c>
      <c r="R33" s="32">
        <v>180</v>
      </c>
      <c r="S33" s="32">
        <v>180</v>
      </c>
      <c r="T33" s="32">
        <v>180</v>
      </c>
      <c r="U33" s="32">
        <v>180</v>
      </c>
      <c r="V33" s="32">
        <v>180</v>
      </c>
      <c r="W33" s="32">
        <v>180</v>
      </c>
      <c r="X33" s="32">
        <v>180</v>
      </c>
      <c r="Y33" s="32">
        <v>180</v>
      </c>
      <c r="Z33" s="32">
        <v>180</v>
      </c>
      <c r="AA33" s="32">
        <v>180</v>
      </c>
      <c r="AB33" s="32">
        <v>180</v>
      </c>
      <c r="AC33" s="17"/>
    </row>
    <row r="34" spans="1:29" ht="18.75" x14ac:dyDescent="0.3">
      <c r="A34" s="46"/>
      <c r="B34" s="31" t="s">
        <v>41</v>
      </c>
      <c r="C34" s="31" t="s">
        <v>42</v>
      </c>
      <c r="D34" s="56">
        <v>490</v>
      </c>
      <c r="E34" s="32">
        <v>490</v>
      </c>
      <c r="F34" s="32">
        <v>490</v>
      </c>
      <c r="G34" s="32">
        <v>490</v>
      </c>
      <c r="H34" s="32">
        <v>490</v>
      </c>
      <c r="I34" s="32">
        <v>490</v>
      </c>
      <c r="J34" s="32">
        <v>490</v>
      </c>
      <c r="K34" s="32">
        <v>490</v>
      </c>
      <c r="L34" s="32">
        <v>490</v>
      </c>
      <c r="M34" s="32">
        <v>490</v>
      </c>
      <c r="N34" s="32">
        <v>490</v>
      </c>
      <c r="O34" s="32">
        <v>490</v>
      </c>
      <c r="P34" s="17"/>
      <c r="Q34" s="32">
        <v>490</v>
      </c>
      <c r="R34" s="32">
        <v>490</v>
      </c>
      <c r="S34" s="32">
        <v>490</v>
      </c>
      <c r="T34" s="32">
        <v>490</v>
      </c>
      <c r="U34" s="32">
        <v>490</v>
      </c>
      <c r="V34" s="32">
        <v>490</v>
      </c>
      <c r="W34" s="32">
        <v>490</v>
      </c>
      <c r="X34" s="32">
        <v>490</v>
      </c>
      <c r="Y34" s="32">
        <v>490</v>
      </c>
      <c r="Z34" s="32">
        <v>490</v>
      </c>
      <c r="AA34" s="32">
        <v>490</v>
      </c>
      <c r="AB34" s="32">
        <v>490</v>
      </c>
      <c r="AC34" s="17"/>
    </row>
    <row r="35" spans="1:29" ht="18.75" x14ac:dyDescent="0.3">
      <c r="A35" s="46"/>
      <c r="B35" s="31" t="s">
        <v>43</v>
      </c>
      <c r="C35" s="31" t="s">
        <v>44</v>
      </c>
      <c r="D35" s="56">
        <v>500</v>
      </c>
      <c r="E35" s="32">
        <v>500</v>
      </c>
      <c r="F35" s="32">
        <v>500</v>
      </c>
      <c r="G35" s="32">
        <v>500</v>
      </c>
      <c r="H35" s="32">
        <v>500</v>
      </c>
      <c r="I35" s="32">
        <v>500</v>
      </c>
      <c r="J35" s="32">
        <v>500</v>
      </c>
      <c r="K35" s="32">
        <v>500</v>
      </c>
      <c r="L35" s="32">
        <v>500</v>
      </c>
      <c r="M35" s="32">
        <v>500</v>
      </c>
      <c r="N35" s="32">
        <v>500</v>
      </c>
      <c r="O35" s="32">
        <v>500</v>
      </c>
      <c r="P35" s="17"/>
      <c r="Q35" s="32">
        <v>500</v>
      </c>
      <c r="R35" s="32">
        <v>500</v>
      </c>
      <c r="S35" s="32">
        <v>500</v>
      </c>
      <c r="T35" s="32">
        <v>500</v>
      </c>
      <c r="U35" s="32">
        <v>500</v>
      </c>
      <c r="V35" s="32">
        <v>500</v>
      </c>
      <c r="W35" s="32">
        <v>500</v>
      </c>
      <c r="X35" s="32">
        <v>500</v>
      </c>
      <c r="Y35" s="32">
        <v>500</v>
      </c>
      <c r="Z35" s="32">
        <v>500</v>
      </c>
      <c r="AA35" s="32">
        <v>500</v>
      </c>
      <c r="AB35" s="32">
        <v>500</v>
      </c>
      <c r="AC35" s="17"/>
    </row>
    <row r="36" spans="1:29" ht="18.75" x14ac:dyDescent="0.3">
      <c r="A36" s="46">
        <v>4</v>
      </c>
      <c r="B36" s="10" t="s">
        <v>83</v>
      </c>
      <c r="C36" s="11"/>
      <c r="D36" s="55">
        <f>D37</f>
        <v>1123.5149999999999</v>
      </c>
      <c r="E36" s="30">
        <f t="shared" ref="E36:AB36" si="30">E37</f>
        <v>2211.8759999999997</v>
      </c>
      <c r="F36" s="30">
        <f>F37</f>
        <v>2946.915</v>
      </c>
      <c r="G36" s="30">
        <f t="shared" ref="G36:J36" si="31">G37</f>
        <v>4544.6399999999994</v>
      </c>
      <c r="H36" s="30">
        <f t="shared" si="31"/>
        <v>5147.2349999999997</v>
      </c>
      <c r="I36" s="30">
        <f t="shared" si="31"/>
        <v>7808.94</v>
      </c>
      <c r="J36" s="30">
        <f t="shared" si="31"/>
        <v>8215.3079999999991</v>
      </c>
      <c r="K36" s="30">
        <f t="shared" si="30"/>
        <v>9179.0225999999984</v>
      </c>
      <c r="L36" s="30">
        <f t="shared" si="30"/>
        <v>6549.7831199999991</v>
      </c>
      <c r="M36" s="30">
        <f t="shared" si="30"/>
        <v>6149.7325439999995</v>
      </c>
      <c r="N36" s="30">
        <f t="shared" si="30"/>
        <v>5111.8590527999986</v>
      </c>
      <c r="O36" s="30">
        <f t="shared" si="30"/>
        <v>5506.5654633599988</v>
      </c>
      <c r="P36" s="16">
        <f>SUM(D36:O36)</f>
        <v>64495.391780159989</v>
      </c>
      <c r="Q36" s="30">
        <f t="shared" si="30"/>
        <v>4060.7999999999997</v>
      </c>
      <c r="R36" s="30">
        <f t="shared" si="30"/>
        <v>6825.5999999999995</v>
      </c>
      <c r="S36" s="30">
        <f t="shared" si="30"/>
        <v>8532</v>
      </c>
      <c r="T36" s="30">
        <f t="shared" si="30"/>
        <v>11551.05</v>
      </c>
      <c r="U36" s="30">
        <f t="shared" si="30"/>
        <v>18793.799999999996</v>
      </c>
      <c r="V36" s="30">
        <f t="shared" si="30"/>
        <v>22017.869999999995</v>
      </c>
      <c r="W36" s="30">
        <f t="shared" si="30"/>
        <v>25035.790499999996</v>
      </c>
      <c r="X36" s="30">
        <f t="shared" si="30"/>
        <v>28492.161074999989</v>
      </c>
      <c r="Y36" s="30">
        <f t="shared" si="30"/>
        <v>32452.037336249985</v>
      </c>
      <c r="Z36" s="30">
        <f t="shared" si="30"/>
        <v>25681.11415278749</v>
      </c>
      <c r="AA36" s="30">
        <f t="shared" si="30"/>
        <v>17539.234430624998</v>
      </c>
      <c r="AB36" s="30">
        <f t="shared" si="30"/>
        <v>14309.85615215625</v>
      </c>
      <c r="AC36" s="16">
        <f>SUM(Q36:AB36)</f>
        <v>215291.31364681869</v>
      </c>
    </row>
    <row r="37" spans="1:29" ht="19.5" thickBot="1" x14ac:dyDescent="0.35">
      <c r="A37" s="46"/>
      <c r="B37" s="36">
        <v>4.0999999999999996</v>
      </c>
      <c r="C37" s="31" t="s">
        <v>76</v>
      </c>
      <c r="D37" s="56">
        <f t="shared" ref="D37:O37" si="32">D15*0.06</f>
        <v>1123.5149999999999</v>
      </c>
      <c r="E37" s="32">
        <f t="shared" si="32"/>
        <v>2211.8759999999997</v>
      </c>
      <c r="F37" s="32">
        <f t="shared" si="32"/>
        <v>2946.915</v>
      </c>
      <c r="G37" s="32">
        <f t="shared" si="32"/>
        <v>4544.6399999999994</v>
      </c>
      <c r="H37" s="32">
        <f t="shared" si="32"/>
        <v>5147.2349999999997</v>
      </c>
      <c r="I37" s="32">
        <f t="shared" si="32"/>
        <v>7808.94</v>
      </c>
      <c r="J37" s="32">
        <f>J15*0.06</f>
        <v>8215.3079999999991</v>
      </c>
      <c r="K37" s="32">
        <f t="shared" si="32"/>
        <v>9179.0225999999984</v>
      </c>
      <c r="L37" s="32">
        <f t="shared" si="32"/>
        <v>6549.7831199999991</v>
      </c>
      <c r="M37" s="32">
        <f t="shared" si="32"/>
        <v>6149.7325439999995</v>
      </c>
      <c r="N37" s="32">
        <f t="shared" si="32"/>
        <v>5111.8590527999986</v>
      </c>
      <c r="O37" s="32">
        <f t="shared" si="32"/>
        <v>5506.5654633599988</v>
      </c>
      <c r="P37" s="17"/>
      <c r="Q37" s="32">
        <f t="shared" ref="Q37:AB37" si="33">Q15*0.06</f>
        <v>4060.7999999999997</v>
      </c>
      <c r="R37" s="32">
        <f t="shared" si="33"/>
        <v>6825.5999999999995</v>
      </c>
      <c r="S37" s="32">
        <f t="shared" si="33"/>
        <v>8532</v>
      </c>
      <c r="T37" s="32">
        <f t="shared" si="33"/>
        <v>11551.05</v>
      </c>
      <c r="U37" s="32">
        <f t="shared" si="33"/>
        <v>18793.799999999996</v>
      </c>
      <c r="V37" s="32">
        <f t="shared" si="33"/>
        <v>22017.869999999995</v>
      </c>
      <c r="W37" s="32">
        <f t="shared" si="33"/>
        <v>25035.790499999996</v>
      </c>
      <c r="X37" s="32">
        <f t="shared" si="33"/>
        <v>28492.161074999989</v>
      </c>
      <c r="Y37" s="32">
        <f t="shared" si="33"/>
        <v>32452.037336249985</v>
      </c>
      <c r="Z37" s="32">
        <f t="shared" si="33"/>
        <v>25681.11415278749</v>
      </c>
      <c r="AA37" s="32">
        <f t="shared" si="33"/>
        <v>17539.234430624998</v>
      </c>
      <c r="AB37" s="32">
        <f t="shared" si="33"/>
        <v>14309.85615215625</v>
      </c>
      <c r="AC37" s="17"/>
    </row>
    <row r="38" spans="1:29" ht="19.5" thickBot="1" x14ac:dyDescent="0.35">
      <c r="A38" s="46"/>
      <c r="B38" s="7" t="s">
        <v>45</v>
      </c>
      <c r="C38" s="8"/>
      <c r="D38" s="58">
        <f t="shared" ref="D38:O38" si="34">D15-SUM(D19,D25,D37)</f>
        <v>-7026.7150000000001</v>
      </c>
      <c r="E38" s="37">
        <f t="shared" si="34"/>
        <v>1909.2439999999988</v>
      </c>
      <c r="F38" s="37">
        <f t="shared" si="34"/>
        <v>7917.885000000002</v>
      </c>
      <c r="G38" s="37">
        <f t="shared" si="34"/>
        <v>20690.160000000003</v>
      </c>
      <c r="H38" s="37">
        <f t="shared" si="34"/>
        <v>25555.964999999997</v>
      </c>
      <c r="I38" s="37">
        <f t="shared" si="34"/>
        <v>47113.86</v>
      </c>
      <c r="J38" s="37">
        <f t="shared" si="34"/>
        <v>50459.651999999987</v>
      </c>
      <c r="K38" s="37">
        <f t="shared" si="34"/>
        <v>51922.289399999994</v>
      </c>
      <c r="L38" s="37">
        <f>L15-SUM(L19,L25,L37)</f>
        <v>31600.511280000006</v>
      </c>
      <c r="M38" s="37">
        <f t="shared" si="34"/>
        <v>28444.556735999999</v>
      </c>
      <c r="N38" s="37">
        <f t="shared" si="34"/>
        <v>19556.888083199985</v>
      </c>
      <c r="O38" s="37">
        <f t="shared" si="34"/>
        <v>22390.683099839996</v>
      </c>
      <c r="P38" s="19">
        <f>SUM(D38:O38)</f>
        <v>300534.97959904</v>
      </c>
      <c r="Q38" s="37">
        <f t="shared" ref="Q38:AB38" si="35">Q15-SUM(Q19,Q25,Q37)</f>
        <v>23125.199999999997</v>
      </c>
      <c r="R38" s="37">
        <f t="shared" si="35"/>
        <v>45076.399999999994</v>
      </c>
      <c r="S38" s="37">
        <f t="shared" si="35"/>
        <v>53888</v>
      </c>
      <c r="T38" s="37">
        <f t="shared" si="35"/>
        <v>68404.95</v>
      </c>
      <c r="U38" s="37">
        <f t="shared" si="35"/>
        <v>126522.19999999998</v>
      </c>
      <c r="V38" s="37">
        <f t="shared" si="35"/>
        <v>202663.42999999996</v>
      </c>
      <c r="W38" s="37">
        <f t="shared" si="35"/>
        <v>236668.40449999995</v>
      </c>
      <c r="X38" s="37">
        <f t="shared" si="35"/>
        <v>265600.6231749999</v>
      </c>
      <c r="Y38" s="37">
        <f t="shared" si="35"/>
        <v>310190.49755124981</v>
      </c>
      <c r="Z38" s="37">
        <f t="shared" si="35"/>
        <v>233029.1699368374</v>
      </c>
      <c r="AA38" s="37">
        <f t="shared" si="35"/>
        <v>141259.186388125</v>
      </c>
      <c r="AB38" s="37">
        <f t="shared" si="35"/>
        <v>105018.38570753124</v>
      </c>
      <c r="AC38" s="19">
        <f>SUM(Q38:AB38)</f>
        <v>1811446.447258743</v>
      </c>
    </row>
    <row r="39" spans="1:29" x14ac:dyDescent="0.25">
      <c r="A39" s="46"/>
      <c r="B39" s="4"/>
      <c r="C39" s="4"/>
      <c r="D39" s="5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2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38"/>
    </row>
    <row r="40" spans="1:29" x14ac:dyDescent="0.25">
      <c r="A40" s="46"/>
      <c r="B40" s="4"/>
      <c r="C40" s="4"/>
      <c r="D40" s="5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1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8"/>
    </row>
    <row r="41" spans="1:29" x14ac:dyDescent="0.25">
      <c r="A41" s="46">
        <v>5</v>
      </c>
      <c r="B41" s="39" t="s">
        <v>46</v>
      </c>
      <c r="C41" s="39"/>
      <c r="D41" s="5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23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</row>
    <row r="42" spans="1:29" x14ac:dyDescent="0.25">
      <c r="A42" s="46"/>
      <c r="B42" s="4" t="s">
        <v>47</v>
      </c>
      <c r="C42" s="4"/>
      <c r="D42" s="56">
        <v>250000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1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38"/>
    </row>
    <row r="43" spans="1:29" x14ac:dyDescent="0.25">
      <c r="A43" s="46"/>
      <c r="B43" s="4" t="s">
        <v>77</v>
      </c>
      <c r="C43" s="4"/>
      <c r="D43" s="5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1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8"/>
    </row>
    <row r="44" spans="1:29" ht="30.75" customHeight="1" x14ac:dyDescent="0.25">
      <c r="A44" s="46"/>
      <c r="B44" s="4"/>
      <c r="C44" s="49" t="s">
        <v>78</v>
      </c>
      <c r="D44" s="56">
        <v>42000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1"/>
      <c r="Q44" s="25"/>
      <c r="R44" s="25"/>
      <c r="S44" s="25" t="s">
        <v>105</v>
      </c>
      <c r="T44" s="25"/>
      <c r="U44" s="25"/>
      <c r="V44" s="25"/>
      <c r="W44" s="25"/>
      <c r="X44" s="25"/>
      <c r="Y44" s="25"/>
      <c r="Z44" s="25"/>
      <c r="AA44" s="25"/>
      <c r="AB44" s="25"/>
      <c r="AC44" s="38"/>
    </row>
    <row r="45" spans="1:29" x14ac:dyDescent="0.25">
      <c r="A45" s="46"/>
      <c r="B45" s="4"/>
      <c r="C45" s="48" t="s">
        <v>79</v>
      </c>
      <c r="D45" s="56">
        <v>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1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8"/>
    </row>
    <row r="46" spans="1:29" x14ac:dyDescent="0.25">
      <c r="A46" s="46"/>
      <c r="B46" s="4"/>
      <c r="C46" s="50" t="s">
        <v>48</v>
      </c>
      <c r="D46" s="56">
        <f>SUM(D42,D44,D45)</f>
        <v>292000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1"/>
      <c r="Q46" s="42">
        <f>D46+O50</f>
        <v>300534.97959904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8"/>
    </row>
    <row r="47" spans="1:29" ht="15.75" thickBot="1" x14ac:dyDescent="0.3">
      <c r="A47" s="46"/>
      <c r="B47" s="4"/>
      <c r="C47" s="4"/>
      <c r="D47" s="5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1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8"/>
    </row>
    <row r="48" spans="1:29" ht="19.5" thickBot="1" x14ac:dyDescent="0.3">
      <c r="A48" s="46">
        <v>6</v>
      </c>
      <c r="B48" s="20" t="s">
        <v>80</v>
      </c>
      <c r="C48" s="20"/>
      <c r="D48" s="131">
        <f>P38/D46</f>
        <v>1.0292293821884932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3"/>
      <c r="Q48" s="132">
        <f>AC38/Q46</f>
        <v>6.0274063594044591</v>
      </c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3"/>
    </row>
    <row r="49" spans="1:29" x14ac:dyDescent="0.25">
      <c r="A49" s="46"/>
      <c r="B49" s="4"/>
      <c r="C49" s="4"/>
      <c r="D49" s="5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2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8"/>
    </row>
    <row r="50" spans="1:29" x14ac:dyDescent="0.25">
      <c r="A50" s="46">
        <v>7</v>
      </c>
      <c r="B50" s="87" t="s">
        <v>49</v>
      </c>
      <c r="C50" s="92">
        <f>0-D46</f>
        <v>-292000</v>
      </c>
      <c r="D50" s="88">
        <f>C50+D38</f>
        <v>-299026.71500000003</v>
      </c>
      <c r="E50" s="88">
        <f t="shared" ref="E50:AA50" si="36">D50+E38</f>
        <v>-297117.47100000002</v>
      </c>
      <c r="F50" s="88">
        <f>E50+F38</f>
        <v>-289199.58600000001</v>
      </c>
      <c r="G50" s="88">
        <f t="shared" ref="G50" si="37">F50+G38</f>
        <v>-268509.42599999998</v>
      </c>
      <c r="H50" s="88">
        <f t="shared" ref="H50" si="38">G50+H38</f>
        <v>-242953.46099999998</v>
      </c>
      <c r="I50" s="88">
        <f t="shared" ref="I50" si="39">H50+I38</f>
        <v>-195839.60099999997</v>
      </c>
      <c r="J50" s="88">
        <f t="shared" ref="J50" si="40">I50+J38</f>
        <v>-145379.94899999996</v>
      </c>
      <c r="K50" s="88">
        <f t="shared" ref="K50" si="41">J50+K38</f>
        <v>-93457.65959999997</v>
      </c>
      <c r="L50" s="88">
        <f t="shared" ref="L50" si="42">K50+L38</f>
        <v>-61857.148319999964</v>
      </c>
      <c r="M50" s="88">
        <f t="shared" ref="M50" si="43">L50+M38</f>
        <v>-33412.591583999965</v>
      </c>
      <c r="N50" s="88">
        <f t="shared" ref="N50" si="44">M50+N38</f>
        <v>-13855.70350079998</v>
      </c>
      <c r="O50" s="88">
        <f t="shared" ref="O50" si="45">N50+O38</f>
        <v>8534.9795990400162</v>
      </c>
      <c r="P50" s="89"/>
      <c r="Q50" s="88">
        <f>O50+Q38</f>
        <v>31660.179599040013</v>
      </c>
      <c r="R50" s="88">
        <f t="shared" si="36"/>
        <v>76736.579599040007</v>
      </c>
      <c r="S50" s="88">
        <f t="shared" si="36"/>
        <v>130624.57959904001</v>
      </c>
      <c r="T50" s="88">
        <f t="shared" si="36"/>
        <v>199029.52959903999</v>
      </c>
      <c r="U50" s="88">
        <f t="shared" si="36"/>
        <v>325551.72959904</v>
      </c>
      <c r="V50" s="88">
        <f t="shared" si="36"/>
        <v>528215.15959903994</v>
      </c>
      <c r="W50" s="88">
        <f t="shared" si="36"/>
        <v>764883.56409903988</v>
      </c>
      <c r="X50" s="88">
        <f t="shared" si="36"/>
        <v>1030484.1872740397</v>
      </c>
      <c r="Y50" s="88">
        <f t="shared" si="36"/>
        <v>1340674.6848252895</v>
      </c>
      <c r="Z50" s="88">
        <f t="shared" si="36"/>
        <v>1573703.8547621269</v>
      </c>
      <c r="AA50" s="88">
        <f t="shared" si="36"/>
        <v>1714963.0411502519</v>
      </c>
      <c r="AB50" s="88">
        <f>AA50+AB38</f>
        <v>1819981.426857783</v>
      </c>
      <c r="AC50" s="38"/>
    </row>
    <row r="51" spans="1:29" s="25" customFormat="1" ht="15.75" thickBot="1" x14ac:dyDescent="0.3">
      <c r="A51" s="91"/>
      <c r="B51" s="43" t="s">
        <v>106</v>
      </c>
      <c r="C51" s="93">
        <f xml:space="preserve"> (C50 + $D46) / $D46</f>
        <v>0</v>
      </c>
      <c r="D51" s="90">
        <f xml:space="preserve"> (D50 + $D46) / $D46</f>
        <v>-2.4064092465753511E-2</v>
      </c>
      <c r="E51" s="90">
        <f xml:space="preserve"> (E50 + $D46) / $D46</f>
        <v>-1.7525585616438424E-2</v>
      </c>
      <c r="F51" s="90">
        <f t="shared" ref="F51:O51" si="46" xml:space="preserve"> (F50 + $D46) / $D46</f>
        <v>9.5904589041095542E-3</v>
      </c>
      <c r="G51" s="90">
        <f t="shared" si="46"/>
        <v>8.0447171232876785E-2</v>
      </c>
      <c r="H51" s="90">
        <f t="shared" si="46"/>
        <v>0.16796759931506855</v>
      </c>
      <c r="I51" s="90">
        <f t="shared" si="46"/>
        <v>0.32931643493150697</v>
      </c>
      <c r="J51" s="90">
        <f t="shared" si="46"/>
        <v>0.50212346232876726</v>
      </c>
      <c r="K51" s="90">
        <f t="shared" si="46"/>
        <v>0.67993952191780838</v>
      </c>
      <c r="L51" s="90">
        <f t="shared" si="46"/>
        <v>0.78816045095890419</v>
      </c>
      <c r="M51" s="90">
        <f t="shared" si="46"/>
        <v>0.88557331649315074</v>
      </c>
      <c r="N51" s="90">
        <f t="shared" si="46"/>
        <v>0.95254896061369876</v>
      </c>
      <c r="O51" s="90">
        <f t="shared" si="46"/>
        <v>1.0292293821884932</v>
      </c>
      <c r="P51" s="94"/>
      <c r="Q51" s="90">
        <f t="shared" ref="Q51" si="47" xml:space="preserve"> (Q50 + $D46) / $D46</f>
        <v>1.1084252725994521</v>
      </c>
      <c r="R51" s="90">
        <f t="shared" ref="R51" si="48" xml:space="preserve"> (R50 + $D46) / $D46</f>
        <v>1.2627965054761643</v>
      </c>
      <c r="S51" s="90">
        <f t="shared" ref="S51" si="49" xml:space="preserve"> (S50 + $D46) / $D46</f>
        <v>1.4473444506816437</v>
      </c>
      <c r="T51" s="90">
        <f t="shared" ref="T51" si="50" xml:space="preserve"> (T50 + $D46) / $D46</f>
        <v>1.6816079780789042</v>
      </c>
      <c r="U51" s="90">
        <f t="shared" ref="U51" si="51" xml:space="preserve"> (U50 + $D46) / $D46</f>
        <v>2.114903183558356</v>
      </c>
      <c r="V51" s="90">
        <f t="shared" ref="V51" si="52" xml:space="preserve"> (V50 + $D46) / $D46</f>
        <v>2.8089560260241093</v>
      </c>
      <c r="W51" s="90">
        <f t="shared" ref="W51" si="53" xml:space="preserve"> (W50 + $D46) / $D46</f>
        <v>3.6194642606131504</v>
      </c>
      <c r="X51" s="90">
        <f t="shared" ref="X51" si="54" xml:space="preserve"> (X50 + $D46) / $D46</f>
        <v>4.5290554358699993</v>
      </c>
      <c r="Y51" s="90">
        <f t="shared" ref="Y51" si="55" xml:space="preserve"> (Y50 + $D46) / $D46</f>
        <v>5.5913516603605808</v>
      </c>
      <c r="Z51" s="90">
        <f t="shared" ref="Z51" si="56" xml:space="preserve"> (Z50 + $D46) / $D46</f>
        <v>6.3893967628839965</v>
      </c>
      <c r="AA51" s="90">
        <f t="shared" ref="AA51" si="57" xml:space="preserve"> (AA50 + $D46) / $D46</f>
        <v>6.8731610998296295</v>
      </c>
      <c r="AB51" s="90">
        <f xml:space="preserve"> (AB50 + $D46) / $D46</f>
        <v>7.232813105677339</v>
      </c>
      <c r="AC51" s="44"/>
    </row>
    <row r="52" spans="1:29" x14ac:dyDescent="0.25"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</row>
    <row r="55" spans="1:29" x14ac:dyDescent="0.25">
      <c r="C55" s="25"/>
    </row>
  </sheetData>
  <dataConsolidate/>
  <mergeCells count="4">
    <mergeCell ref="P1:P2"/>
    <mergeCell ref="D48:P48"/>
    <mergeCell ref="Q48:AC48"/>
    <mergeCell ref="AC1:AC2"/>
  </mergeCells>
  <pageMargins left="0.7" right="0.7" top="0.75" bottom="0.75" header="0.3" footer="0.3"/>
  <pageSetup paperSize="9" orientation="portrait" r:id="rId1"/>
  <ignoredErrors>
    <ignoredError sqref="D17:O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pane xSplit="5" ySplit="8" topLeftCell="H38" activePane="bottomRight" state="frozen"/>
      <selection pane="topRight" activeCell="F1" sqref="F1"/>
      <selection pane="bottomLeft" activeCell="A12" sqref="A12"/>
      <selection pane="bottomRight" activeCell="D45" sqref="D45"/>
    </sheetView>
  </sheetViews>
  <sheetFormatPr defaultRowHeight="15" x14ac:dyDescent="0.25"/>
  <cols>
    <col min="2" max="2" width="39.140625" customWidth="1"/>
    <col min="3" max="3" width="40.42578125" customWidth="1"/>
    <col min="4" max="5" width="12.28515625" bestFit="1" customWidth="1"/>
    <col min="6" max="9" width="12.28515625" customWidth="1"/>
    <col min="10" max="15" width="12.28515625" bestFit="1" customWidth="1"/>
    <col min="16" max="16" width="17.7109375" customWidth="1"/>
    <col min="17" max="20" width="12.28515625" bestFit="1" customWidth="1"/>
    <col min="21" max="27" width="11.7109375" bestFit="1" customWidth="1"/>
    <col min="28" max="28" width="13.28515625" bestFit="1" customWidth="1"/>
    <col min="29" max="29" width="16.28515625" customWidth="1"/>
  </cols>
  <sheetData>
    <row r="1" spans="1:29" ht="15.75" thickBot="1" x14ac:dyDescent="0.3">
      <c r="A1" s="45"/>
      <c r="B1" s="47" t="s">
        <v>16</v>
      </c>
      <c r="C1" s="47"/>
      <c r="D1" s="51">
        <v>2020</v>
      </c>
      <c r="E1" s="51">
        <v>2020</v>
      </c>
      <c r="F1" s="51">
        <v>2020</v>
      </c>
      <c r="G1" s="51">
        <v>2020</v>
      </c>
      <c r="H1" s="51">
        <v>2020</v>
      </c>
      <c r="I1" s="51">
        <v>2020</v>
      </c>
      <c r="J1" s="51">
        <v>2020</v>
      </c>
      <c r="K1" s="24">
        <v>2020</v>
      </c>
      <c r="L1" s="24">
        <v>2020</v>
      </c>
      <c r="M1" s="24">
        <v>2020</v>
      </c>
      <c r="N1" s="24">
        <v>2020</v>
      </c>
      <c r="O1" s="24">
        <v>2020</v>
      </c>
      <c r="P1" s="129" t="s">
        <v>81</v>
      </c>
      <c r="Q1" s="24">
        <v>2021</v>
      </c>
      <c r="R1" s="24">
        <v>2021</v>
      </c>
      <c r="S1" s="24">
        <v>2021</v>
      </c>
      <c r="T1" s="24">
        <v>2021</v>
      </c>
      <c r="U1" s="24">
        <v>2021</v>
      </c>
      <c r="V1" s="24">
        <v>2021</v>
      </c>
      <c r="W1" s="24">
        <v>2021</v>
      </c>
      <c r="X1" s="24">
        <v>2021</v>
      </c>
      <c r="Y1" s="24">
        <v>2021</v>
      </c>
      <c r="Z1" s="24">
        <v>2021</v>
      </c>
      <c r="AA1" s="24">
        <v>2021</v>
      </c>
      <c r="AB1" s="24">
        <v>2021</v>
      </c>
      <c r="AC1" s="129" t="s">
        <v>82</v>
      </c>
    </row>
    <row r="2" spans="1:29" ht="15.75" thickTop="1" x14ac:dyDescent="0.25">
      <c r="A2" s="46"/>
      <c r="B2" s="5"/>
      <c r="C2" s="4"/>
      <c r="D2" s="52" t="s">
        <v>58</v>
      </c>
      <c r="E2" s="52" t="s">
        <v>59</v>
      </c>
      <c r="F2" s="52" t="s">
        <v>60</v>
      </c>
      <c r="G2" s="25" t="s">
        <v>61</v>
      </c>
      <c r="H2" s="25" t="s">
        <v>50</v>
      </c>
      <c r="I2" s="25" t="s">
        <v>51</v>
      </c>
      <c r="J2" s="25" t="s">
        <v>52</v>
      </c>
      <c r="K2" s="25" t="s">
        <v>53</v>
      </c>
      <c r="L2" s="25" t="s">
        <v>54</v>
      </c>
      <c r="M2" s="25" t="s">
        <v>55</v>
      </c>
      <c r="N2" s="25" t="s">
        <v>56</v>
      </c>
      <c r="O2" s="25" t="s">
        <v>57</v>
      </c>
      <c r="P2" s="130"/>
      <c r="Q2" s="25" t="s">
        <v>58</v>
      </c>
      <c r="R2" s="25" t="s">
        <v>59</v>
      </c>
      <c r="S2" s="25" t="s">
        <v>60</v>
      </c>
      <c r="T2" s="25" t="s">
        <v>61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55</v>
      </c>
      <c r="AA2" s="25" t="s">
        <v>56</v>
      </c>
      <c r="AB2" s="25" t="s">
        <v>57</v>
      </c>
      <c r="AC2" s="130"/>
    </row>
    <row r="3" spans="1:29" x14ac:dyDescent="0.25">
      <c r="A3" s="46"/>
      <c r="B3" s="7" t="s">
        <v>17</v>
      </c>
      <c r="C3" s="8"/>
      <c r="D3" s="53">
        <f>mini!D3*2</f>
        <v>10</v>
      </c>
      <c r="E3" s="53">
        <f>mini!E3*2</f>
        <v>20</v>
      </c>
      <c r="F3" s="53">
        <f>mini!F3*2</f>
        <v>40</v>
      </c>
      <c r="G3" s="26">
        <f>mini!G3*2</f>
        <v>40</v>
      </c>
      <c r="H3" s="26">
        <f>mini!H3*2</f>
        <v>50</v>
      </c>
      <c r="I3" s="26">
        <f>mini!I3*2</f>
        <v>60</v>
      </c>
      <c r="J3" s="26">
        <f>mini!J3*2</f>
        <v>60</v>
      </c>
      <c r="K3" s="26">
        <f>mini!K3*2</f>
        <v>60</v>
      </c>
      <c r="L3" s="26">
        <f>mini!L3*2</f>
        <v>60</v>
      </c>
      <c r="M3" s="26">
        <f>mini!M3*2</f>
        <v>60</v>
      </c>
      <c r="N3" s="26">
        <f>mini!N3*2</f>
        <v>60</v>
      </c>
      <c r="O3" s="26">
        <f>mini!O3*2</f>
        <v>60</v>
      </c>
      <c r="P3" s="12"/>
      <c r="Q3" s="26">
        <f>mini!Q3*2</f>
        <v>40</v>
      </c>
      <c r="R3" s="26">
        <f>mini!R3*2</f>
        <v>40</v>
      </c>
      <c r="S3" s="26">
        <f>mini!S3*2</f>
        <v>40</v>
      </c>
      <c r="T3" s="26">
        <f>mini!T3*2</f>
        <v>50</v>
      </c>
      <c r="U3" s="26">
        <f>mini!U3*2</f>
        <v>90</v>
      </c>
      <c r="V3" s="26">
        <f>mini!V3*2</f>
        <v>120</v>
      </c>
      <c r="W3" s="26">
        <f>mini!W3*2</f>
        <v>140</v>
      </c>
      <c r="X3" s="26">
        <f>mini!X3*2</f>
        <v>180</v>
      </c>
      <c r="Y3" s="26">
        <f>mini!Y3*2</f>
        <v>180</v>
      </c>
      <c r="Z3" s="26">
        <f>mini!Z3*2</f>
        <v>190</v>
      </c>
      <c r="AA3" s="26">
        <f>mini!AA3*2</f>
        <v>190</v>
      </c>
      <c r="AB3" s="26">
        <f>mini!AB3*2</f>
        <v>200</v>
      </c>
      <c r="AC3" s="13"/>
    </row>
    <row r="4" spans="1:29" x14ac:dyDescent="0.25">
      <c r="A4" s="46"/>
      <c r="B4" s="5"/>
      <c r="C4" s="4"/>
      <c r="D4" s="5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3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3"/>
    </row>
    <row r="5" spans="1:29" x14ac:dyDescent="0.25">
      <c r="A5" s="46"/>
      <c r="B5" s="10" t="s">
        <v>18</v>
      </c>
      <c r="C5" s="11"/>
      <c r="D5" s="5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3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</row>
    <row r="6" spans="1:29" ht="18.75" x14ac:dyDescent="0.3">
      <c r="A6" s="46"/>
      <c r="B6" s="5"/>
      <c r="C6" s="9" t="s">
        <v>62</v>
      </c>
      <c r="D6" s="54">
        <f>mini!D6*2</f>
        <v>290</v>
      </c>
      <c r="E6" s="27">
        <f>mini!E6*2</f>
        <v>536</v>
      </c>
      <c r="F6" s="27">
        <f>mini!F6*2</f>
        <v>690</v>
      </c>
      <c r="G6" s="27">
        <f>mini!G6*2</f>
        <v>896</v>
      </c>
      <c r="H6" s="27">
        <f>mini!H6*2</f>
        <v>1014</v>
      </c>
      <c r="I6" s="27">
        <f>mini!I6*2</f>
        <v>1560</v>
      </c>
      <c r="J6" s="27">
        <f>mini!J6*2</f>
        <v>1624</v>
      </c>
      <c r="K6" s="27">
        <f>mini!K6*2</f>
        <v>1850</v>
      </c>
      <c r="L6" s="27">
        <f>mini!L6*2</f>
        <v>1516</v>
      </c>
      <c r="M6" s="27">
        <f>mini!M6*2</f>
        <v>1360</v>
      </c>
      <c r="N6" s="27">
        <f>mini!N6*2</f>
        <v>1112</v>
      </c>
      <c r="O6" s="27">
        <f>mini!O6*2</f>
        <v>1230</v>
      </c>
      <c r="P6" s="14">
        <f>SUM(D6:O6)</f>
        <v>13678</v>
      </c>
      <c r="Q6" s="28">
        <f>mini!Q6*2</f>
        <v>800</v>
      </c>
      <c r="R6" s="28">
        <f>mini!R6*2</f>
        <v>1600</v>
      </c>
      <c r="S6" s="28">
        <f>mini!S6*2</f>
        <v>2000</v>
      </c>
      <c r="T6" s="28">
        <f>mini!T6*2</f>
        <v>2800</v>
      </c>
      <c r="U6" s="28">
        <f>mini!U6*2</f>
        <v>3919.9999999999995</v>
      </c>
      <c r="V6" s="28">
        <f>mini!V6*2</f>
        <v>4507.9999999999991</v>
      </c>
      <c r="W6" s="28">
        <f>mini!W6*2</f>
        <v>5184.1999999999989</v>
      </c>
      <c r="X6" s="28">
        <f>mini!X6*2</f>
        <v>5961.8299999999981</v>
      </c>
      <c r="Y6" s="28">
        <f>mini!Y6*2</f>
        <v>6856.1044999999976</v>
      </c>
      <c r="Z6" s="28">
        <f>mini!Z6*2</f>
        <v>7198.9097249999977</v>
      </c>
      <c r="AA6" s="28">
        <f>mini!AA6*2</f>
        <v>4800</v>
      </c>
      <c r="AB6" s="28">
        <f>mini!AB6*2</f>
        <v>3800</v>
      </c>
      <c r="AC6" s="15">
        <f>SUM(Q6:AB6)</f>
        <v>49429.044224999991</v>
      </c>
    </row>
    <row r="7" spans="1:29" ht="18.75" x14ac:dyDescent="0.3">
      <c r="A7" s="46"/>
      <c r="B7" s="5"/>
      <c r="C7" s="9" t="s">
        <v>63</v>
      </c>
      <c r="D7" s="54">
        <f>mini!D7*2</f>
        <v>40</v>
      </c>
      <c r="E7" s="27">
        <f>mini!E7*2</f>
        <v>90</v>
      </c>
      <c r="F7" s="27">
        <f>mini!F7*2</f>
        <v>120</v>
      </c>
      <c r="G7" s="27">
        <f>mini!G7*2</f>
        <v>144</v>
      </c>
      <c r="H7" s="27">
        <f>mini!H7*2</f>
        <v>160</v>
      </c>
      <c r="I7" s="27">
        <f>mini!I7*2</f>
        <v>240</v>
      </c>
      <c r="J7" s="27">
        <f>mini!J7*2</f>
        <v>260</v>
      </c>
      <c r="K7" s="27">
        <f>mini!K7*2</f>
        <v>240</v>
      </c>
      <c r="L7" s="27">
        <f>mini!L7*2</f>
        <v>300</v>
      </c>
      <c r="M7" s="27">
        <f>mini!M7*2</f>
        <v>300</v>
      </c>
      <c r="N7" s="27">
        <f>mini!N7*2</f>
        <v>200</v>
      </c>
      <c r="O7" s="27">
        <f>mini!O7*2</f>
        <v>160</v>
      </c>
      <c r="P7" s="14">
        <f>SUM(D7:O7)</f>
        <v>2254</v>
      </c>
      <c r="Q7" s="28">
        <f>mini!Q7*2</f>
        <v>180</v>
      </c>
      <c r="R7" s="28">
        <f>mini!R7*2</f>
        <v>200</v>
      </c>
      <c r="S7" s="28">
        <f>mini!S7*2</f>
        <v>250</v>
      </c>
      <c r="T7" s="28">
        <f>mini!T7*2</f>
        <v>350</v>
      </c>
      <c r="U7" s="28">
        <f>mini!U7*2</f>
        <v>489.99999999999994</v>
      </c>
      <c r="V7" s="28">
        <f>mini!V7*2</f>
        <v>685.99999999999989</v>
      </c>
      <c r="W7" s="28">
        <f>mini!W7*2</f>
        <v>720.3</v>
      </c>
      <c r="X7" s="28">
        <f>mini!X7*2</f>
        <v>756.31499999999994</v>
      </c>
      <c r="Y7" s="28">
        <f>mini!Y7*2</f>
        <v>794.13074999999992</v>
      </c>
      <c r="Z7" s="28">
        <f>mini!Z7*2</f>
        <v>500</v>
      </c>
      <c r="AA7" s="28">
        <f>mini!AA7*2</f>
        <v>400</v>
      </c>
      <c r="AB7" s="28">
        <f>mini!AB7*2</f>
        <v>400</v>
      </c>
      <c r="AC7" s="15">
        <f t="shared" ref="AC7:AC8" si="0">SUM(Q7:AB7)</f>
        <v>5726.74575</v>
      </c>
    </row>
    <row r="8" spans="1:29" ht="18.75" x14ac:dyDescent="0.3">
      <c r="A8" s="46"/>
      <c r="B8" s="5"/>
      <c r="C8" s="9" t="s">
        <v>64</v>
      </c>
      <c r="D8" s="64">
        <f>mini!D8*2</f>
        <v>4</v>
      </c>
      <c r="E8" s="28">
        <f>mini!E8*2</f>
        <v>16</v>
      </c>
      <c r="F8" s="28">
        <f>mini!F8*2</f>
        <v>30</v>
      </c>
      <c r="G8" s="28">
        <f>mini!G8*2</f>
        <v>24</v>
      </c>
      <c r="H8" s="28">
        <f>mini!H8*2</f>
        <v>28.799999999999997</v>
      </c>
      <c r="I8" s="28">
        <f>mini!I8*2</f>
        <v>34.559999999999995</v>
      </c>
      <c r="J8" s="28">
        <f>mini!J8*2</f>
        <v>41.471999999999994</v>
      </c>
      <c r="K8" s="28">
        <f>mini!K8*2</f>
        <v>49.76639999999999</v>
      </c>
      <c r="L8" s="28">
        <f>mini!L8*2</f>
        <v>59.719679999999983</v>
      </c>
      <c r="M8" s="28">
        <f>mini!M8*2</f>
        <v>71.663615999999976</v>
      </c>
      <c r="N8" s="28">
        <f>mini!N8*2</f>
        <v>85.996339199999966</v>
      </c>
      <c r="O8" s="28">
        <f>mini!O8*2</f>
        <v>103.19560703999996</v>
      </c>
      <c r="P8" s="15">
        <f>SUM(D8:O8)</f>
        <v>549.17364223999982</v>
      </c>
      <c r="Q8" s="28">
        <f>mini!Q8*2</f>
        <v>90</v>
      </c>
      <c r="R8" s="28">
        <f>mini!R8*2</f>
        <v>100</v>
      </c>
      <c r="S8" s="28">
        <f>mini!S8*2</f>
        <v>125</v>
      </c>
      <c r="T8" s="28">
        <f>mini!T8*2</f>
        <v>131.25</v>
      </c>
      <c r="U8" s="28">
        <f>mini!U8*2</f>
        <v>40</v>
      </c>
      <c r="V8" s="28">
        <f>mini!V8*2</f>
        <v>42</v>
      </c>
      <c r="W8" s="28">
        <f>mini!W8*2</f>
        <v>44.1</v>
      </c>
      <c r="X8" s="28">
        <f>mini!X8*2</f>
        <v>46.305000000000007</v>
      </c>
      <c r="Y8" s="28">
        <f>mini!Y8*2</f>
        <v>48.620250000000006</v>
      </c>
      <c r="Z8" s="28">
        <f>mini!Z8*2</f>
        <v>51.051262500000007</v>
      </c>
      <c r="AA8" s="28">
        <f>mini!AA8*2</f>
        <v>53.603825625000013</v>
      </c>
      <c r="AB8" s="28">
        <f>mini!AB8*2</f>
        <v>56.284016906250017</v>
      </c>
      <c r="AC8" s="15">
        <f t="shared" si="0"/>
        <v>828.21435503125008</v>
      </c>
    </row>
    <row r="9" spans="1:29" ht="18.75" x14ac:dyDescent="0.3">
      <c r="A9" s="46"/>
      <c r="B9" s="5"/>
      <c r="C9" s="25"/>
      <c r="D9" s="5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18"/>
    </row>
    <row r="10" spans="1:29" ht="18.75" x14ac:dyDescent="0.3">
      <c r="A10" s="46"/>
      <c r="B10" s="5"/>
      <c r="C10" s="6"/>
      <c r="D10" s="5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18"/>
    </row>
    <row r="11" spans="1:29" ht="18.75" x14ac:dyDescent="0.3">
      <c r="A11" s="46">
        <v>1</v>
      </c>
      <c r="B11" s="10" t="s">
        <v>72</v>
      </c>
      <c r="C11" s="11"/>
      <c r="D11" s="55">
        <f>SUM(D12:D14)</f>
        <v>302087.5</v>
      </c>
      <c r="E11" s="30">
        <f t="shared" ref="E11:O11" si="1">SUM(E12:E14)</f>
        <v>595410</v>
      </c>
      <c r="F11" s="55">
        <f t="shared" si="1"/>
        <v>797587.5</v>
      </c>
      <c r="G11" s="30">
        <f t="shared" si="1"/>
        <v>1231200</v>
      </c>
      <c r="H11" s="30">
        <f t="shared" si="1"/>
        <v>1396187.5</v>
      </c>
      <c r="I11" s="30">
        <f t="shared" si="1"/>
        <v>2114430</v>
      </c>
      <c r="J11" s="30">
        <f t="shared" si="1"/>
        <v>2224766</v>
      </c>
      <c r="K11" s="30">
        <f t="shared" si="1"/>
        <v>2502611.7000000002</v>
      </c>
      <c r="L11" s="30">
        <f t="shared" si="1"/>
        <v>1759244.04</v>
      </c>
      <c r="M11" s="30">
        <f t="shared" si="1"/>
        <v>1654090.848</v>
      </c>
      <c r="N11" s="30">
        <f t="shared" si="1"/>
        <v>1402959.0175999999</v>
      </c>
      <c r="O11" s="30">
        <f t="shared" si="1"/>
        <v>1533199.32112</v>
      </c>
      <c r="P11" s="16">
        <f>SUM(D11:O11)</f>
        <v>17513773.426719997</v>
      </c>
      <c r="Q11" s="30">
        <f t="shared" ref="Q11:AB11" si="2">SUM(Q12:Q14)</f>
        <v>1119000</v>
      </c>
      <c r="R11" s="30">
        <f t="shared" si="2"/>
        <v>1886000</v>
      </c>
      <c r="S11" s="30">
        <f t="shared" si="2"/>
        <v>2357500</v>
      </c>
      <c r="T11" s="30">
        <f t="shared" si="2"/>
        <v>3169250</v>
      </c>
      <c r="U11" s="30">
        <f t="shared" si="2"/>
        <v>5093499.9999999991</v>
      </c>
      <c r="V11" s="30">
        <f t="shared" si="2"/>
        <v>5931274.9999999991</v>
      </c>
      <c r="W11" s="30">
        <f t="shared" si="2"/>
        <v>6760346.2499999991</v>
      </c>
      <c r="X11" s="30">
        <f t="shared" si="2"/>
        <v>7710747.1874999972</v>
      </c>
      <c r="Y11" s="30">
        <f t="shared" si="2"/>
        <v>8800525.7156249974</v>
      </c>
      <c r="Z11" s="30">
        <f t="shared" si="2"/>
        <v>7009168.4514687471</v>
      </c>
      <c r="AA11" s="30">
        <f t="shared" si="2"/>
        <v>4778811.4768749997</v>
      </c>
      <c r="AB11" s="30">
        <f t="shared" si="2"/>
        <v>3883102.0507187499</v>
      </c>
      <c r="AC11" s="16">
        <f>SUM(Q11:AB11)</f>
        <v>58499226.132187486</v>
      </c>
    </row>
    <row r="12" spans="1:29" ht="18.75" x14ac:dyDescent="0.3">
      <c r="A12" s="46"/>
      <c r="B12" s="31" t="s">
        <v>20</v>
      </c>
      <c r="C12" s="31" t="s">
        <v>21</v>
      </c>
      <c r="D12" s="56">
        <f>mini!D12*2.5</f>
        <v>262087.5</v>
      </c>
      <c r="E12" s="32">
        <f>mini!E12*2.5</f>
        <v>484410</v>
      </c>
      <c r="F12" s="56">
        <f>mini!F12*2.5</f>
        <v>623587.5</v>
      </c>
      <c r="G12" s="32">
        <f>mini!G12*2.5</f>
        <v>1058400</v>
      </c>
      <c r="H12" s="32">
        <f>mini!H12*2.5</f>
        <v>1197787.5</v>
      </c>
      <c r="I12" s="32">
        <f>mini!I12*2.5</f>
        <v>1842750</v>
      </c>
      <c r="J12" s="32">
        <f>mini!J12*2.5</f>
        <v>1918350</v>
      </c>
      <c r="K12" s="32">
        <f>mini!K12*2.5</f>
        <v>2185312.5</v>
      </c>
      <c r="L12" s="32">
        <f>mini!L12*2.5</f>
        <v>1370085</v>
      </c>
      <c r="M12" s="32">
        <f>mini!M12*2.5</f>
        <v>1229100</v>
      </c>
      <c r="N12" s="32">
        <f>mini!N12*2.5</f>
        <v>1004970</v>
      </c>
      <c r="O12" s="32">
        <f>mini!O12*2.5</f>
        <v>1111612.5</v>
      </c>
      <c r="P12" s="17"/>
      <c r="Q12" s="32">
        <f>mini!Q12*2.5</f>
        <v>723000</v>
      </c>
      <c r="R12" s="32">
        <f>mini!R12*2.5</f>
        <v>1446000</v>
      </c>
      <c r="S12" s="32">
        <f>mini!S12*2.5</f>
        <v>1807500</v>
      </c>
      <c r="T12" s="32">
        <f>mini!T12*2.5</f>
        <v>2530500</v>
      </c>
      <c r="U12" s="32">
        <f>mini!U12*2.5</f>
        <v>4630499.9999999991</v>
      </c>
      <c r="V12" s="32">
        <f>mini!V12*2.5</f>
        <v>5325074.9999999991</v>
      </c>
      <c r="W12" s="32">
        <f>mini!W12*2.5</f>
        <v>6123836.2499999991</v>
      </c>
      <c r="X12" s="32">
        <f>mini!X12*2.5</f>
        <v>7042411.6874999972</v>
      </c>
      <c r="Y12" s="32">
        <f>mini!Y12*2.5</f>
        <v>8098773.440624997</v>
      </c>
      <c r="Z12" s="32">
        <f>mini!Z12*2.5</f>
        <v>6506014.6639687475</v>
      </c>
      <c r="AA12" s="32">
        <f>mini!AA12*2.5</f>
        <v>4338000</v>
      </c>
      <c r="AB12" s="32">
        <f>mini!AB12*2.5</f>
        <v>3434250</v>
      </c>
      <c r="AC12" s="17"/>
    </row>
    <row r="13" spans="1:29" ht="18.75" x14ac:dyDescent="0.3">
      <c r="A13" s="46"/>
      <c r="B13" s="31" t="s">
        <v>22</v>
      </c>
      <c r="C13" s="31" t="s">
        <v>23</v>
      </c>
      <c r="D13" s="56">
        <f>2*350*D7</f>
        <v>28000</v>
      </c>
      <c r="E13" s="32">
        <f t="shared" ref="E13:O13" si="3">2*350*E7</f>
        <v>63000</v>
      </c>
      <c r="F13" s="56">
        <f t="shared" si="3"/>
        <v>84000</v>
      </c>
      <c r="G13" s="32">
        <f t="shared" si="3"/>
        <v>100800</v>
      </c>
      <c r="H13" s="32">
        <f t="shared" si="3"/>
        <v>112000</v>
      </c>
      <c r="I13" s="32">
        <f t="shared" si="3"/>
        <v>168000</v>
      </c>
      <c r="J13" s="32">
        <f t="shared" si="3"/>
        <v>182000</v>
      </c>
      <c r="K13" s="32">
        <f t="shared" si="3"/>
        <v>168000</v>
      </c>
      <c r="L13" s="32">
        <f t="shared" si="3"/>
        <v>210000</v>
      </c>
      <c r="M13" s="32">
        <f t="shared" si="3"/>
        <v>210000</v>
      </c>
      <c r="N13" s="32">
        <f t="shared" si="3"/>
        <v>140000</v>
      </c>
      <c r="O13" s="32">
        <f t="shared" si="3"/>
        <v>112000</v>
      </c>
      <c r="P13" s="17"/>
      <c r="Q13" s="32">
        <f>2*350*Q7</f>
        <v>126000</v>
      </c>
      <c r="R13" s="32">
        <f t="shared" ref="R13:AB13" si="4">2*350*R7</f>
        <v>140000</v>
      </c>
      <c r="S13" s="32">
        <f t="shared" si="4"/>
        <v>175000</v>
      </c>
      <c r="T13" s="32">
        <f t="shared" si="4"/>
        <v>245000</v>
      </c>
      <c r="U13" s="32">
        <f t="shared" si="4"/>
        <v>342999.99999999994</v>
      </c>
      <c r="V13" s="32">
        <f t="shared" si="4"/>
        <v>480199.99999999994</v>
      </c>
      <c r="W13" s="32">
        <f t="shared" si="4"/>
        <v>504209.99999999994</v>
      </c>
      <c r="X13" s="32">
        <f t="shared" si="4"/>
        <v>529420.5</v>
      </c>
      <c r="Y13" s="32">
        <f t="shared" si="4"/>
        <v>555891.52499999991</v>
      </c>
      <c r="Z13" s="32">
        <f t="shared" si="4"/>
        <v>350000</v>
      </c>
      <c r="AA13" s="32">
        <f t="shared" si="4"/>
        <v>280000</v>
      </c>
      <c r="AB13" s="32">
        <f t="shared" si="4"/>
        <v>280000</v>
      </c>
      <c r="AC13" s="17"/>
    </row>
    <row r="14" spans="1:29" ht="18.75" x14ac:dyDescent="0.3">
      <c r="A14" s="46"/>
      <c r="B14" s="31" t="s">
        <v>24</v>
      </c>
      <c r="C14" s="31" t="s">
        <v>96</v>
      </c>
      <c r="D14" s="56">
        <f>D8*3000</f>
        <v>12000</v>
      </c>
      <c r="E14" s="32">
        <f t="shared" ref="E14:O14" si="5">E8*3000</f>
        <v>48000</v>
      </c>
      <c r="F14" s="56">
        <f t="shared" si="5"/>
        <v>90000</v>
      </c>
      <c r="G14" s="32">
        <f t="shared" si="5"/>
        <v>72000</v>
      </c>
      <c r="H14" s="32">
        <f t="shared" si="5"/>
        <v>86399.999999999985</v>
      </c>
      <c r="I14" s="32">
        <f t="shared" si="5"/>
        <v>103679.99999999999</v>
      </c>
      <c r="J14" s="32">
        <f t="shared" si="5"/>
        <v>124415.99999999999</v>
      </c>
      <c r="K14" s="32">
        <f t="shared" si="5"/>
        <v>149299.19999999998</v>
      </c>
      <c r="L14" s="32">
        <f t="shared" si="5"/>
        <v>179159.03999999995</v>
      </c>
      <c r="M14" s="32">
        <f t="shared" si="5"/>
        <v>214990.84799999994</v>
      </c>
      <c r="N14" s="32">
        <f t="shared" si="5"/>
        <v>257989.0175999999</v>
      </c>
      <c r="O14" s="32">
        <f t="shared" si="5"/>
        <v>309586.82111999986</v>
      </c>
      <c r="P14" s="17"/>
      <c r="Q14" s="32">
        <f>Q8*3000</f>
        <v>270000</v>
      </c>
      <c r="R14" s="32">
        <f t="shared" ref="R14:AB14" si="6">R8*3000</f>
        <v>300000</v>
      </c>
      <c r="S14" s="32">
        <f t="shared" si="6"/>
        <v>375000</v>
      </c>
      <c r="T14" s="32">
        <f t="shared" si="6"/>
        <v>393750</v>
      </c>
      <c r="U14" s="32">
        <f t="shared" si="6"/>
        <v>120000</v>
      </c>
      <c r="V14" s="32">
        <f t="shared" si="6"/>
        <v>126000</v>
      </c>
      <c r="W14" s="32">
        <f t="shared" si="6"/>
        <v>132300</v>
      </c>
      <c r="X14" s="32">
        <f t="shared" si="6"/>
        <v>138915.00000000003</v>
      </c>
      <c r="Y14" s="32">
        <f t="shared" si="6"/>
        <v>145860.75000000003</v>
      </c>
      <c r="Z14" s="32">
        <f t="shared" si="6"/>
        <v>153153.78750000003</v>
      </c>
      <c r="AA14" s="32">
        <f t="shared" si="6"/>
        <v>160811.47687500005</v>
      </c>
      <c r="AB14" s="32">
        <f t="shared" si="6"/>
        <v>168852.05071875005</v>
      </c>
      <c r="AC14" s="17"/>
    </row>
    <row r="15" spans="1:29" ht="18.75" x14ac:dyDescent="0.3">
      <c r="A15" s="46"/>
      <c r="B15" s="10" t="s">
        <v>19</v>
      </c>
      <c r="C15" s="11"/>
      <c r="D15" s="57">
        <f>SUM(D16:D19)</f>
        <v>46713.125</v>
      </c>
      <c r="E15" s="33">
        <f t="shared" ref="E15:O15" si="7">SUM(E16:E19)</f>
        <v>122461.5</v>
      </c>
      <c r="F15" s="33">
        <f t="shared" si="7"/>
        <v>155338.125</v>
      </c>
      <c r="G15" s="33">
        <f t="shared" si="7"/>
        <v>222795</v>
      </c>
      <c r="H15" s="33">
        <f t="shared" si="7"/>
        <v>249756.875</v>
      </c>
      <c r="I15" s="33">
        <f t="shared" si="7"/>
        <v>362029.6875</v>
      </c>
      <c r="J15" s="33">
        <f t="shared" si="7"/>
        <v>381103.34687500005</v>
      </c>
      <c r="K15" s="33">
        <f t="shared" si="7"/>
        <v>423994.62421874999</v>
      </c>
      <c r="L15" s="33">
        <f t="shared" si="7"/>
        <v>316599.6186796875</v>
      </c>
      <c r="M15" s="33">
        <f t="shared" si="7"/>
        <v>302937.29051367188</v>
      </c>
      <c r="N15" s="33">
        <f t="shared" si="7"/>
        <v>263983.69911935547</v>
      </c>
      <c r="O15" s="33">
        <f t="shared" si="7"/>
        <v>284446.73697132326</v>
      </c>
      <c r="P15" s="16">
        <f>SUM(D15:O15)</f>
        <v>3132159.6288777883</v>
      </c>
      <c r="Q15" s="33">
        <f>SUM(Q16:Q19)</f>
        <v>225460.18074348941</v>
      </c>
      <c r="R15" s="33">
        <f t="shared" ref="R15:AB15" si="8">SUM(R16:R19)</f>
        <v>348906.70785501285</v>
      </c>
      <c r="S15" s="33">
        <f t="shared" si="8"/>
        <v>430232.71403326473</v>
      </c>
      <c r="T15" s="33">
        <f t="shared" si="8"/>
        <v>565673.87113825441</v>
      </c>
      <c r="U15" s="33">
        <f t="shared" si="8"/>
        <v>870916.82680899254</v>
      </c>
      <c r="V15" s="33">
        <f t="shared" si="8"/>
        <v>1016904.3508303413</v>
      </c>
      <c r="W15" s="33">
        <f t="shared" si="8"/>
        <v>1157946.0034548927</v>
      </c>
      <c r="X15" s="33">
        <f t="shared" si="8"/>
        <v>1319569.2039731261</v>
      </c>
      <c r="Y15" s="33">
        <f t="shared" si="8"/>
        <v>1504832.4495690952</v>
      </c>
      <c r="Z15" s="33">
        <f t="shared" si="8"/>
        <v>1249378.1360919594</v>
      </c>
      <c r="AA15" s="33">
        <f t="shared" si="8"/>
        <v>920349.73332147975</v>
      </c>
      <c r="AB15" s="33">
        <f t="shared" si="8"/>
        <v>795469.71998755366</v>
      </c>
      <c r="AC15" s="16">
        <f>SUM(Q15:AB15)</f>
        <v>10405639.897807462</v>
      </c>
    </row>
    <row r="16" spans="1:29" ht="18.75" x14ac:dyDescent="0.3">
      <c r="A16" s="46"/>
      <c r="B16" s="31" t="s">
        <v>73</v>
      </c>
      <c r="C16" s="31" t="s">
        <v>21</v>
      </c>
      <c r="D16" s="56">
        <f>D12*0.15</f>
        <v>39313.125</v>
      </c>
      <c r="E16" s="32">
        <f t="shared" ref="E16:O16" si="9">E12*0.15</f>
        <v>72661.5</v>
      </c>
      <c r="F16" s="56">
        <f t="shared" si="9"/>
        <v>93538.125</v>
      </c>
      <c r="G16" s="32">
        <f t="shared" si="9"/>
        <v>158760</v>
      </c>
      <c r="H16" s="32">
        <f t="shared" si="9"/>
        <v>179668.125</v>
      </c>
      <c r="I16" s="32">
        <f t="shared" si="9"/>
        <v>276412.5</v>
      </c>
      <c r="J16" s="32">
        <f t="shared" si="9"/>
        <v>287752.5</v>
      </c>
      <c r="K16" s="32">
        <f t="shared" si="9"/>
        <v>327796.875</v>
      </c>
      <c r="L16" s="32">
        <f t="shared" si="9"/>
        <v>205512.75</v>
      </c>
      <c r="M16" s="32">
        <f t="shared" si="9"/>
        <v>184365</v>
      </c>
      <c r="N16" s="32">
        <f t="shared" si="9"/>
        <v>150745.5</v>
      </c>
      <c r="O16" s="32">
        <f t="shared" si="9"/>
        <v>166741.875</v>
      </c>
      <c r="P16" s="17"/>
      <c r="Q16" s="32">
        <f>Q12*0.15</f>
        <v>108450</v>
      </c>
      <c r="R16" s="32">
        <f t="shared" ref="R16:AB16" si="10">R12*0.15</f>
        <v>216900</v>
      </c>
      <c r="S16" s="32">
        <f t="shared" si="10"/>
        <v>271125</v>
      </c>
      <c r="T16" s="32">
        <f t="shared" si="10"/>
        <v>379575</v>
      </c>
      <c r="U16" s="32">
        <f t="shared" si="10"/>
        <v>694574.99999999988</v>
      </c>
      <c r="V16" s="32">
        <f t="shared" si="10"/>
        <v>798761.24999999988</v>
      </c>
      <c r="W16" s="32">
        <f t="shared" si="10"/>
        <v>918575.43749999988</v>
      </c>
      <c r="X16" s="32">
        <f t="shared" si="10"/>
        <v>1056361.7531249996</v>
      </c>
      <c r="Y16" s="32">
        <f t="shared" si="10"/>
        <v>1214816.0160937496</v>
      </c>
      <c r="Z16" s="32">
        <f t="shared" si="10"/>
        <v>975902.19959531212</v>
      </c>
      <c r="AA16" s="32">
        <f t="shared" si="10"/>
        <v>650700</v>
      </c>
      <c r="AB16" s="32">
        <f t="shared" si="10"/>
        <v>515137.5</v>
      </c>
      <c r="AC16" s="17"/>
    </row>
    <row r="17" spans="1:29" ht="18.75" x14ac:dyDescent="0.3">
      <c r="A17" s="46"/>
      <c r="B17" s="31" t="s">
        <v>74</v>
      </c>
      <c r="C17" s="31" t="s">
        <v>23</v>
      </c>
      <c r="D17" s="56">
        <f>D13*0.2</f>
        <v>5600</v>
      </c>
      <c r="E17" s="32">
        <f t="shared" ref="E17:O17" si="11">E13*0.2</f>
        <v>12600</v>
      </c>
      <c r="F17" s="56">
        <f t="shared" si="11"/>
        <v>16800</v>
      </c>
      <c r="G17" s="32">
        <f t="shared" si="11"/>
        <v>20160</v>
      </c>
      <c r="H17" s="32">
        <f t="shared" si="11"/>
        <v>22400</v>
      </c>
      <c r="I17" s="32">
        <f t="shared" si="11"/>
        <v>33600</v>
      </c>
      <c r="J17" s="32">
        <f t="shared" si="11"/>
        <v>36400</v>
      </c>
      <c r="K17" s="32">
        <f t="shared" si="11"/>
        <v>33600</v>
      </c>
      <c r="L17" s="32">
        <f t="shared" si="11"/>
        <v>42000</v>
      </c>
      <c r="M17" s="32">
        <f t="shared" si="11"/>
        <v>42000</v>
      </c>
      <c r="N17" s="32">
        <f t="shared" si="11"/>
        <v>28000</v>
      </c>
      <c r="O17" s="32">
        <f t="shared" si="11"/>
        <v>22400</v>
      </c>
      <c r="P17" s="56"/>
      <c r="Q17" s="56">
        <f t="shared" ref="Q17:AB17" si="12">Q13*0.2</f>
        <v>25200</v>
      </c>
      <c r="R17" s="32">
        <f t="shared" si="12"/>
        <v>28000</v>
      </c>
      <c r="S17" s="32">
        <f t="shared" si="12"/>
        <v>35000</v>
      </c>
      <c r="T17" s="32">
        <f t="shared" si="12"/>
        <v>49000</v>
      </c>
      <c r="U17" s="32">
        <f t="shared" si="12"/>
        <v>68599.999999999985</v>
      </c>
      <c r="V17" s="32">
        <f t="shared" si="12"/>
        <v>96040</v>
      </c>
      <c r="W17" s="32">
        <f t="shared" si="12"/>
        <v>100842</v>
      </c>
      <c r="X17" s="32">
        <f t="shared" si="12"/>
        <v>105884.1</v>
      </c>
      <c r="Y17" s="32">
        <f t="shared" si="12"/>
        <v>111178.30499999999</v>
      </c>
      <c r="Z17" s="32">
        <f t="shared" si="12"/>
        <v>70000</v>
      </c>
      <c r="AA17" s="32">
        <f t="shared" si="12"/>
        <v>56000</v>
      </c>
      <c r="AB17" s="32">
        <f t="shared" si="12"/>
        <v>56000</v>
      </c>
      <c r="AC17" s="17"/>
    </row>
    <row r="18" spans="1:29" ht="18.75" x14ac:dyDescent="0.3">
      <c r="A18" s="46"/>
      <c r="B18" s="31" t="s">
        <v>75</v>
      </c>
      <c r="C18" s="31" t="s">
        <v>65</v>
      </c>
      <c r="D18" s="56">
        <f>D14*0.15</f>
        <v>1800</v>
      </c>
      <c r="E18" s="32">
        <f t="shared" ref="E18:O18" si="13">E14*0.15</f>
        <v>7200</v>
      </c>
      <c r="F18" s="56">
        <f t="shared" si="13"/>
        <v>13500</v>
      </c>
      <c r="G18" s="32">
        <f t="shared" si="13"/>
        <v>10800</v>
      </c>
      <c r="H18" s="32">
        <f t="shared" si="13"/>
        <v>12959.999999999998</v>
      </c>
      <c r="I18" s="32">
        <f t="shared" si="13"/>
        <v>15551.999999999996</v>
      </c>
      <c r="J18" s="32">
        <f t="shared" si="13"/>
        <v>18662.399999999998</v>
      </c>
      <c r="K18" s="32">
        <f t="shared" si="13"/>
        <v>22394.879999999997</v>
      </c>
      <c r="L18" s="32">
        <f t="shared" si="13"/>
        <v>26873.855999999992</v>
      </c>
      <c r="M18" s="32">
        <f t="shared" si="13"/>
        <v>32248.627199999988</v>
      </c>
      <c r="N18" s="32">
        <f t="shared" si="13"/>
        <v>38698.352639999983</v>
      </c>
      <c r="O18" s="32">
        <f t="shared" si="13"/>
        <v>46438.023167999978</v>
      </c>
      <c r="P18" s="17"/>
      <c r="Q18" s="32">
        <f>Q14*0.15</f>
        <v>40500</v>
      </c>
      <c r="R18" s="32">
        <f t="shared" ref="R18:AB18" si="14">R14*0.15</f>
        <v>45000</v>
      </c>
      <c r="S18" s="32">
        <f t="shared" si="14"/>
        <v>56250</v>
      </c>
      <c r="T18" s="32">
        <f t="shared" si="14"/>
        <v>59062.5</v>
      </c>
      <c r="U18" s="32">
        <f t="shared" si="14"/>
        <v>18000</v>
      </c>
      <c r="V18" s="32">
        <f t="shared" si="14"/>
        <v>18900</v>
      </c>
      <c r="W18" s="32">
        <f t="shared" si="14"/>
        <v>19845</v>
      </c>
      <c r="X18" s="32">
        <f t="shared" si="14"/>
        <v>20837.250000000004</v>
      </c>
      <c r="Y18" s="32">
        <f t="shared" si="14"/>
        <v>21879.112500000003</v>
      </c>
      <c r="Z18" s="32">
        <f t="shared" si="14"/>
        <v>22973.068125000005</v>
      </c>
      <c r="AA18" s="32">
        <f t="shared" si="14"/>
        <v>24121.721531250008</v>
      </c>
      <c r="AB18" s="32">
        <f t="shared" si="14"/>
        <v>25327.807607812505</v>
      </c>
      <c r="AC18" s="17"/>
    </row>
    <row r="19" spans="1:29" ht="18.75" x14ac:dyDescent="0.3">
      <c r="A19" s="46"/>
      <c r="B19" s="60" t="s">
        <v>84</v>
      </c>
      <c r="C19" s="31" t="s">
        <v>85</v>
      </c>
      <c r="D19" s="56">
        <v>0</v>
      </c>
      <c r="E19" s="32">
        <f>1000000*0.03</f>
        <v>30000</v>
      </c>
      <c r="F19" s="32">
        <f>E19*1.05</f>
        <v>31500</v>
      </c>
      <c r="G19" s="32">
        <f t="shared" ref="G19:O19" si="15">F19*1.05</f>
        <v>33075</v>
      </c>
      <c r="H19" s="32">
        <f t="shared" si="15"/>
        <v>34728.75</v>
      </c>
      <c r="I19" s="32">
        <f t="shared" si="15"/>
        <v>36465.1875</v>
      </c>
      <c r="J19" s="32">
        <f t="shared" si="15"/>
        <v>38288.446875000001</v>
      </c>
      <c r="K19" s="32">
        <f t="shared" si="15"/>
        <v>40202.869218750006</v>
      </c>
      <c r="L19" s="32">
        <f t="shared" si="15"/>
        <v>42213.012679687505</v>
      </c>
      <c r="M19" s="32">
        <f t="shared" si="15"/>
        <v>44323.663313671881</v>
      </c>
      <c r="N19" s="32">
        <f t="shared" si="15"/>
        <v>46539.846479355474</v>
      </c>
      <c r="O19" s="32">
        <f t="shared" si="15"/>
        <v>48866.838803323248</v>
      </c>
      <c r="P19" s="17"/>
      <c r="Q19" s="32">
        <f>O19*1.05</f>
        <v>51310.180743489414</v>
      </c>
      <c r="R19" s="32">
        <f>Q19*1.15</f>
        <v>59006.707855012821</v>
      </c>
      <c r="S19" s="32">
        <f t="shared" ref="S19:U19" si="16">R19*1.15</f>
        <v>67857.71403326474</v>
      </c>
      <c r="T19" s="32">
        <f t="shared" si="16"/>
        <v>78036.371138254442</v>
      </c>
      <c r="U19" s="32">
        <f t="shared" si="16"/>
        <v>89741.826808992599</v>
      </c>
      <c r="V19" s="32">
        <f t="shared" ref="V19:Z19" si="17">U19*1.15</f>
        <v>103203.10083034149</v>
      </c>
      <c r="W19" s="32">
        <f t="shared" si="17"/>
        <v>118683.56595489269</v>
      </c>
      <c r="X19" s="32">
        <f t="shared" si="17"/>
        <v>136486.10084812657</v>
      </c>
      <c r="Y19" s="32">
        <f t="shared" si="17"/>
        <v>156959.01597534554</v>
      </c>
      <c r="Z19" s="32">
        <f t="shared" si="17"/>
        <v>180502.86837164735</v>
      </c>
      <c r="AA19" s="32">
        <f t="shared" ref="AA19:AB19" si="18">Z19*1.05</f>
        <v>189528.01179022974</v>
      </c>
      <c r="AB19" s="32">
        <f t="shared" si="18"/>
        <v>199004.41237974123</v>
      </c>
      <c r="AC19" s="17"/>
    </row>
    <row r="20" spans="1:29" ht="18.75" x14ac:dyDescent="0.3">
      <c r="A20" s="46">
        <v>2</v>
      </c>
      <c r="B20" s="10" t="s">
        <v>25</v>
      </c>
      <c r="C20" s="11"/>
      <c r="D20" s="57">
        <f>SUM(D24:D25,D22)</f>
        <v>21146.125</v>
      </c>
      <c r="E20" s="33">
        <f t="shared" ref="E20:AB20" si="19">SUM(E24:E25,E22)</f>
        <v>41678.699999999997</v>
      </c>
      <c r="F20" s="33">
        <f t="shared" si="19"/>
        <v>55831.125</v>
      </c>
      <c r="G20" s="33">
        <f t="shared" si="19"/>
        <v>79248</v>
      </c>
      <c r="H20" s="33">
        <f t="shared" si="19"/>
        <v>85847.5</v>
      </c>
      <c r="I20" s="33">
        <f t="shared" si="19"/>
        <v>114577.2</v>
      </c>
      <c r="J20" s="33">
        <f t="shared" si="19"/>
        <v>118990.64</v>
      </c>
      <c r="K20" s="33">
        <f t="shared" si="19"/>
        <v>130104.46800000001</v>
      </c>
      <c r="L20" s="33">
        <f t="shared" si="19"/>
        <v>100369.7616</v>
      </c>
      <c r="M20" s="33">
        <f t="shared" si="19"/>
        <v>96163.633920000007</v>
      </c>
      <c r="N20" s="33">
        <f t="shared" si="19"/>
        <v>86118.360703999992</v>
      </c>
      <c r="O20" s="33">
        <f t="shared" si="19"/>
        <v>91327.97284480001</v>
      </c>
      <c r="P20" s="16">
        <f>SUM(D20:O20)</f>
        <v>1021403.4870688</v>
      </c>
      <c r="Q20" s="33">
        <f t="shared" si="19"/>
        <v>74760</v>
      </c>
      <c r="R20" s="33">
        <f t="shared" si="19"/>
        <v>105440</v>
      </c>
      <c r="S20" s="33">
        <f t="shared" si="19"/>
        <v>124300</v>
      </c>
      <c r="T20" s="33">
        <f t="shared" si="19"/>
        <v>156770</v>
      </c>
      <c r="U20" s="33">
        <f t="shared" si="19"/>
        <v>233739.99999999997</v>
      </c>
      <c r="V20" s="33">
        <f t="shared" si="19"/>
        <v>267251</v>
      </c>
      <c r="W20" s="33">
        <f t="shared" si="19"/>
        <v>300413.84999999998</v>
      </c>
      <c r="X20" s="33">
        <f t="shared" si="19"/>
        <v>338429.8874999999</v>
      </c>
      <c r="Y20" s="33">
        <f t="shared" si="19"/>
        <v>382021.02862499992</v>
      </c>
      <c r="Z20" s="33">
        <f t="shared" si="19"/>
        <v>310366.73805874988</v>
      </c>
      <c r="AA20" s="33">
        <f t="shared" si="19"/>
        <v>221152.45907499999</v>
      </c>
      <c r="AB20" s="33">
        <f t="shared" si="19"/>
        <v>185324.08202875001</v>
      </c>
      <c r="AC20" s="16">
        <f>SUM(Q20:AB20)</f>
        <v>2699969.0452875001</v>
      </c>
    </row>
    <row r="21" spans="1:29" ht="18.75" x14ac:dyDescent="0.3">
      <c r="A21" s="46"/>
      <c r="B21" s="34"/>
      <c r="C21" s="4" t="s">
        <v>26</v>
      </c>
      <c r="D21" s="5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7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17"/>
    </row>
    <row r="22" spans="1:29" ht="18.75" x14ac:dyDescent="0.3">
      <c r="A22" s="46"/>
      <c r="B22" s="35" t="s">
        <v>27</v>
      </c>
      <c r="C22" s="31" t="s">
        <v>66</v>
      </c>
      <c r="D22" s="56">
        <v>0</v>
      </c>
      <c r="E22" s="32">
        <v>0</v>
      </c>
      <c r="F22" s="32">
        <v>0</v>
      </c>
      <c r="G22" s="32">
        <v>30000</v>
      </c>
      <c r="H22" s="32">
        <v>30000</v>
      </c>
      <c r="I22" s="32">
        <v>30000</v>
      </c>
      <c r="J22" s="32">
        <v>30000</v>
      </c>
      <c r="K22" s="32">
        <v>30000</v>
      </c>
      <c r="L22" s="32">
        <v>30000</v>
      </c>
      <c r="M22" s="32">
        <v>30000</v>
      </c>
      <c r="N22" s="32">
        <v>30000</v>
      </c>
      <c r="O22" s="32">
        <v>30000</v>
      </c>
      <c r="P22" s="17"/>
      <c r="Q22" s="32">
        <v>30000</v>
      </c>
      <c r="R22" s="32">
        <v>30000</v>
      </c>
      <c r="S22" s="32">
        <v>30000</v>
      </c>
      <c r="T22" s="32">
        <v>30000</v>
      </c>
      <c r="U22" s="32">
        <v>30000</v>
      </c>
      <c r="V22" s="32">
        <v>30000</v>
      </c>
      <c r="W22" s="32">
        <v>30000</v>
      </c>
      <c r="X22" s="32">
        <v>30000</v>
      </c>
      <c r="Y22" s="32">
        <v>30000</v>
      </c>
      <c r="Z22" s="32">
        <v>30000</v>
      </c>
      <c r="AA22" s="32">
        <v>30000</v>
      </c>
      <c r="AB22" s="32">
        <v>30000</v>
      </c>
      <c r="AC22" s="17"/>
    </row>
    <row r="23" spans="1:29" ht="18.75" x14ac:dyDescent="0.3">
      <c r="A23" s="46"/>
      <c r="B23" s="31"/>
      <c r="C23" s="31" t="s">
        <v>67</v>
      </c>
      <c r="D23" s="56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7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17"/>
    </row>
    <row r="24" spans="1:29" ht="18.75" x14ac:dyDescent="0.3">
      <c r="A24" s="46"/>
      <c r="B24" s="35" t="s">
        <v>28</v>
      </c>
      <c r="C24" s="31" t="s">
        <v>29</v>
      </c>
      <c r="D24" s="56">
        <f>D11*0.04</f>
        <v>12083.5</v>
      </c>
      <c r="E24" s="32">
        <f t="shared" ref="E24:I24" si="20">E11*0.04</f>
        <v>23816.400000000001</v>
      </c>
      <c r="F24" s="56">
        <f t="shared" si="20"/>
        <v>31903.5</v>
      </c>
      <c r="G24" s="32">
        <f t="shared" si="20"/>
        <v>49248</v>
      </c>
      <c r="H24" s="32">
        <f t="shared" si="20"/>
        <v>55847.5</v>
      </c>
      <c r="I24" s="32">
        <f t="shared" si="20"/>
        <v>84577.2</v>
      </c>
      <c r="J24" s="32">
        <f t="shared" ref="J24:AB24" si="21">J11*0.04</f>
        <v>88990.64</v>
      </c>
      <c r="K24" s="32">
        <f t="shared" si="21"/>
        <v>100104.46800000001</v>
      </c>
      <c r="L24" s="32">
        <f t="shared" si="21"/>
        <v>70369.761599999998</v>
      </c>
      <c r="M24" s="32">
        <f t="shared" si="21"/>
        <v>66163.633920000007</v>
      </c>
      <c r="N24" s="32">
        <f t="shared" si="21"/>
        <v>56118.360703999999</v>
      </c>
      <c r="O24" s="32">
        <f t="shared" si="21"/>
        <v>61327.972844800002</v>
      </c>
      <c r="P24" s="17"/>
      <c r="Q24" s="32">
        <f t="shared" si="21"/>
        <v>44760</v>
      </c>
      <c r="R24" s="32">
        <f t="shared" si="21"/>
        <v>75440</v>
      </c>
      <c r="S24" s="32">
        <f t="shared" si="21"/>
        <v>94300</v>
      </c>
      <c r="T24" s="32">
        <f t="shared" si="21"/>
        <v>126770</v>
      </c>
      <c r="U24" s="32">
        <f t="shared" si="21"/>
        <v>203739.99999999997</v>
      </c>
      <c r="V24" s="32">
        <f t="shared" si="21"/>
        <v>237250.99999999997</v>
      </c>
      <c r="W24" s="32">
        <f t="shared" si="21"/>
        <v>270413.84999999998</v>
      </c>
      <c r="X24" s="32">
        <f t="shared" si="21"/>
        <v>308429.8874999999</v>
      </c>
      <c r="Y24" s="32">
        <f t="shared" si="21"/>
        <v>352021.02862499992</v>
      </c>
      <c r="Z24" s="32">
        <f t="shared" si="21"/>
        <v>280366.73805874988</v>
      </c>
      <c r="AA24" s="32">
        <f t="shared" si="21"/>
        <v>191152.45907499999</v>
      </c>
      <c r="AB24" s="32">
        <f t="shared" si="21"/>
        <v>155324.08202875001</v>
      </c>
      <c r="AC24" s="17"/>
    </row>
    <row r="25" spans="1:29" ht="18.75" x14ac:dyDescent="0.3">
      <c r="A25" s="46"/>
      <c r="B25" s="34" t="s">
        <v>30</v>
      </c>
      <c r="C25" s="31" t="s">
        <v>31</v>
      </c>
      <c r="D25" s="56">
        <f>D11*0.03</f>
        <v>9062.625</v>
      </c>
      <c r="E25" s="32">
        <f t="shared" ref="E25:F25" si="22">E11*0.03</f>
        <v>17862.3</v>
      </c>
      <c r="F25" s="56">
        <f t="shared" si="22"/>
        <v>23927.625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17"/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17"/>
    </row>
    <row r="26" spans="1:29" ht="18.75" x14ac:dyDescent="0.3">
      <c r="A26" s="46">
        <v>3</v>
      </c>
      <c r="B26" s="10" t="s">
        <v>32</v>
      </c>
      <c r="C26" s="11"/>
      <c r="D26" s="57">
        <f>SUM(D28:D30,D32,D34:D37)</f>
        <v>38170</v>
      </c>
      <c r="E26" s="33">
        <f t="shared" ref="E26:O26" si="23">SUM(E28:E30,E32,E34:E37)</f>
        <v>37170</v>
      </c>
      <c r="F26" s="33">
        <f t="shared" si="23"/>
        <v>37170</v>
      </c>
      <c r="G26" s="33">
        <f t="shared" si="23"/>
        <v>37170</v>
      </c>
      <c r="H26" s="33">
        <f t="shared" si="23"/>
        <v>42170</v>
      </c>
      <c r="I26" s="33">
        <f t="shared" si="23"/>
        <v>47170</v>
      </c>
      <c r="J26" s="33">
        <f t="shared" si="23"/>
        <v>62170</v>
      </c>
      <c r="K26" s="33">
        <f t="shared" si="23"/>
        <v>52170</v>
      </c>
      <c r="L26" s="33">
        <f t="shared" si="23"/>
        <v>47170</v>
      </c>
      <c r="M26" s="33">
        <f t="shared" si="23"/>
        <v>37170</v>
      </c>
      <c r="N26" s="33">
        <f t="shared" si="23"/>
        <v>32170</v>
      </c>
      <c r="O26" s="33">
        <f t="shared" si="23"/>
        <v>27170</v>
      </c>
      <c r="P26" s="16">
        <f>SUM(D26:O26)</f>
        <v>497040</v>
      </c>
      <c r="Q26" s="33">
        <f>SUM(Q28:Q30,Q32,Q34:Q37)</f>
        <v>27170</v>
      </c>
      <c r="R26" s="33">
        <f t="shared" ref="R26:AB26" si="24">SUM(R28:R30,R32,R34:R37)</f>
        <v>27170</v>
      </c>
      <c r="S26" s="33">
        <f t="shared" si="24"/>
        <v>32170</v>
      </c>
      <c r="T26" s="33">
        <f t="shared" si="24"/>
        <v>47170</v>
      </c>
      <c r="U26" s="33">
        <f t="shared" si="24"/>
        <v>47170</v>
      </c>
      <c r="V26" s="33">
        <f t="shared" si="24"/>
        <v>47170</v>
      </c>
      <c r="W26" s="33">
        <f t="shared" si="24"/>
        <v>47170</v>
      </c>
      <c r="X26" s="33">
        <f t="shared" si="24"/>
        <v>47170</v>
      </c>
      <c r="Y26" s="33">
        <f t="shared" si="24"/>
        <v>47170</v>
      </c>
      <c r="Z26" s="33">
        <f t="shared" si="24"/>
        <v>47170</v>
      </c>
      <c r="AA26" s="33">
        <f t="shared" si="24"/>
        <v>47170</v>
      </c>
      <c r="AB26" s="33">
        <f t="shared" si="24"/>
        <v>47170</v>
      </c>
      <c r="AC26" s="16">
        <f>SUM(Q26:AB26)</f>
        <v>511040</v>
      </c>
    </row>
    <row r="27" spans="1:29" ht="18.75" x14ac:dyDescent="0.3">
      <c r="A27" s="46"/>
      <c r="B27" s="34" t="s">
        <v>68</v>
      </c>
      <c r="C27" s="4"/>
      <c r="D27" s="56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7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17"/>
    </row>
    <row r="28" spans="1:29" ht="18.75" x14ac:dyDescent="0.3">
      <c r="A28" s="46"/>
      <c r="B28" s="31" t="s">
        <v>33</v>
      </c>
      <c r="C28" s="48" t="s">
        <v>69</v>
      </c>
      <c r="D28" s="56">
        <v>20000</v>
      </c>
      <c r="E28" s="32">
        <v>20000</v>
      </c>
      <c r="F28" s="32">
        <v>20000</v>
      </c>
      <c r="G28" s="32">
        <v>20000</v>
      </c>
      <c r="H28" s="32">
        <v>25000</v>
      </c>
      <c r="I28" s="32">
        <v>30000</v>
      </c>
      <c r="J28" s="32">
        <v>40000</v>
      </c>
      <c r="K28" s="32">
        <v>30000</v>
      </c>
      <c r="L28" s="32">
        <v>25000</v>
      </c>
      <c r="M28" s="32">
        <v>15000</v>
      </c>
      <c r="N28" s="32">
        <v>10000</v>
      </c>
      <c r="O28" s="32">
        <v>10000</v>
      </c>
      <c r="P28" s="17"/>
      <c r="Q28" s="32">
        <v>10000</v>
      </c>
      <c r="R28" s="32">
        <v>10000</v>
      </c>
      <c r="S28" s="32">
        <v>15000</v>
      </c>
      <c r="T28" s="32">
        <v>30000</v>
      </c>
      <c r="U28" s="32">
        <v>30000</v>
      </c>
      <c r="V28" s="32">
        <v>30000</v>
      </c>
      <c r="W28" s="32">
        <v>30000</v>
      </c>
      <c r="X28" s="32">
        <v>30000</v>
      </c>
      <c r="Y28" s="32">
        <v>30000</v>
      </c>
      <c r="Z28" s="32">
        <v>30000</v>
      </c>
      <c r="AA28" s="32">
        <v>30000</v>
      </c>
      <c r="AB28" s="32">
        <v>30000</v>
      </c>
      <c r="AC28" s="17"/>
    </row>
    <row r="29" spans="1:29" ht="18.75" x14ac:dyDescent="0.3">
      <c r="A29" s="46"/>
      <c r="B29" s="31" t="s">
        <v>34</v>
      </c>
      <c r="C29" s="31" t="s">
        <v>70</v>
      </c>
      <c r="D29" s="56">
        <v>2000</v>
      </c>
      <c r="E29" s="32">
        <v>1000</v>
      </c>
      <c r="F29" s="32">
        <v>1000</v>
      </c>
      <c r="G29" s="32">
        <v>1000</v>
      </c>
      <c r="H29" s="32">
        <v>1000</v>
      </c>
      <c r="I29" s="32">
        <v>1000</v>
      </c>
      <c r="J29" s="32">
        <v>1000</v>
      </c>
      <c r="K29" s="32">
        <v>1000</v>
      </c>
      <c r="L29" s="32">
        <v>1000</v>
      </c>
      <c r="M29" s="32">
        <v>1000</v>
      </c>
      <c r="N29" s="32">
        <v>1000</v>
      </c>
      <c r="O29" s="32">
        <v>1000</v>
      </c>
      <c r="P29" s="17"/>
      <c r="Q29" s="32">
        <v>1000</v>
      </c>
      <c r="R29" s="32">
        <v>1000</v>
      </c>
      <c r="S29" s="32">
        <v>1000</v>
      </c>
      <c r="T29" s="32">
        <v>1000</v>
      </c>
      <c r="U29" s="32">
        <v>1000</v>
      </c>
      <c r="V29" s="32">
        <v>1000</v>
      </c>
      <c r="W29" s="32">
        <v>1000</v>
      </c>
      <c r="X29" s="32">
        <v>1000</v>
      </c>
      <c r="Y29" s="32">
        <v>1000</v>
      </c>
      <c r="Z29" s="32">
        <v>1000</v>
      </c>
      <c r="AA29" s="32">
        <v>1000</v>
      </c>
      <c r="AB29" s="32">
        <v>1000</v>
      </c>
      <c r="AC29" s="17"/>
    </row>
    <row r="30" spans="1:29" ht="18.75" x14ac:dyDescent="0.3">
      <c r="A30" s="46"/>
      <c r="B30" s="31" t="s">
        <v>35</v>
      </c>
      <c r="C30" s="31" t="s">
        <v>71</v>
      </c>
      <c r="D30" s="56">
        <v>5000</v>
      </c>
      <c r="E30" s="32">
        <v>5000</v>
      </c>
      <c r="F30" s="32">
        <v>5000</v>
      </c>
      <c r="G30" s="32">
        <v>5000</v>
      </c>
      <c r="H30" s="32">
        <v>5000</v>
      </c>
      <c r="I30" s="32">
        <v>5000</v>
      </c>
      <c r="J30" s="32">
        <v>10000</v>
      </c>
      <c r="K30" s="32">
        <v>10000</v>
      </c>
      <c r="L30" s="32">
        <v>10000</v>
      </c>
      <c r="M30" s="32">
        <v>10000</v>
      </c>
      <c r="N30" s="32">
        <v>10000</v>
      </c>
      <c r="O30" s="32">
        <v>5000</v>
      </c>
      <c r="P30" s="17"/>
      <c r="Q30" s="32">
        <v>4000</v>
      </c>
      <c r="R30" s="32">
        <v>4000</v>
      </c>
      <c r="S30" s="32">
        <v>4000</v>
      </c>
      <c r="T30" s="32">
        <v>4000</v>
      </c>
      <c r="U30" s="32">
        <v>4000</v>
      </c>
      <c r="V30" s="32">
        <v>4000</v>
      </c>
      <c r="W30" s="32">
        <v>4000</v>
      </c>
      <c r="X30" s="32">
        <v>4000</v>
      </c>
      <c r="Y30" s="32">
        <v>4000</v>
      </c>
      <c r="Z30" s="32">
        <v>4000</v>
      </c>
      <c r="AA30" s="32">
        <v>4000</v>
      </c>
      <c r="AB30" s="32">
        <v>4000</v>
      </c>
      <c r="AC30" s="17"/>
    </row>
    <row r="31" spans="1:29" ht="18.75" x14ac:dyDescent="0.3">
      <c r="A31" s="46"/>
      <c r="B31" s="34" t="s">
        <v>7</v>
      </c>
      <c r="C31" s="4"/>
      <c r="D31" s="56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17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17"/>
    </row>
    <row r="32" spans="1:29" ht="18.75" x14ac:dyDescent="0.3">
      <c r="A32" s="46"/>
      <c r="B32" s="31" t="s">
        <v>36</v>
      </c>
      <c r="C32" s="31" t="s">
        <v>37</v>
      </c>
      <c r="D32" s="56">
        <v>8000</v>
      </c>
      <c r="E32" s="32">
        <v>8000</v>
      </c>
      <c r="F32" s="32">
        <v>8000</v>
      </c>
      <c r="G32" s="32">
        <v>8000</v>
      </c>
      <c r="H32" s="32">
        <v>8000</v>
      </c>
      <c r="I32" s="32">
        <v>8000</v>
      </c>
      <c r="J32" s="32">
        <v>8000</v>
      </c>
      <c r="K32" s="32">
        <v>8000</v>
      </c>
      <c r="L32" s="32">
        <v>8000</v>
      </c>
      <c r="M32" s="32">
        <v>8000</v>
      </c>
      <c r="N32" s="32">
        <v>8000</v>
      </c>
      <c r="O32" s="32">
        <v>8000</v>
      </c>
      <c r="P32" s="17"/>
      <c r="Q32" s="32">
        <v>8500</v>
      </c>
      <c r="R32" s="32">
        <v>8500</v>
      </c>
      <c r="S32" s="32">
        <v>8500</v>
      </c>
      <c r="T32" s="32">
        <v>8500</v>
      </c>
      <c r="U32" s="32">
        <v>8500</v>
      </c>
      <c r="V32" s="32">
        <v>8500</v>
      </c>
      <c r="W32" s="32">
        <v>8500</v>
      </c>
      <c r="X32" s="32">
        <v>8500</v>
      </c>
      <c r="Y32" s="32">
        <v>8500</v>
      </c>
      <c r="Z32" s="32">
        <v>8500</v>
      </c>
      <c r="AA32" s="32">
        <v>8500</v>
      </c>
      <c r="AB32" s="32">
        <v>8500</v>
      </c>
      <c r="AC32" s="17"/>
    </row>
    <row r="33" spans="1:29" ht="18.75" x14ac:dyDescent="0.3">
      <c r="A33" s="46"/>
      <c r="B33" s="34" t="s">
        <v>38</v>
      </c>
      <c r="C33" s="4"/>
      <c r="D33" s="56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17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17"/>
    </row>
    <row r="34" spans="1:29" ht="18.75" x14ac:dyDescent="0.3">
      <c r="A34" s="46"/>
      <c r="B34" s="31" t="s">
        <v>39</v>
      </c>
      <c r="C34" s="31" t="s">
        <v>40</v>
      </c>
      <c r="D34" s="56">
        <v>180</v>
      </c>
      <c r="E34" s="32">
        <v>180</v>
      </c>
      <c r="F34" s="32">
        <v>180</v>
      </c>
      <c r="G34" s="32">
        <v>180</v>
      </c>
      <c r="H34" s="32">
        <v>180</v>
      </c>
      <c r="I34" s="32">
        <v>180</v>
      </c>
      <c r="J34" s="32">
        <v>180</v>
      </c>
      <c r="K34" s="32">
        <v>180</v>
      </c>
      <c r="L34" s="32">
        <v>180</v>
      </c>
      <c r="M34" s="32">
        <v>180</v>
      </c>
      <c r="N34" s="32">
        <v>180</v>
      </c>
      <c r="O34" s="32">
        <v>180</v>
      </c>
      <c r="P34" s="17"/>
      <c r="Q34" s="32">
        <v>180</v>
      </c>
      <c r="R34" s="32">
        <v>180</v>
      </c>
      <c r="S34" s="32">
        <v>180</v>
      </c>
      <c r="T34" s="32">
        <v>180</v>
      </c>
      <c r="U34" s="32">
        <v>180</v>
      </c>
      <c r="V34" s="32">
        <v>180</v>
      </c>
      <c r="W34" s="32">
        <v>180</v>
      </c>
      <c r="X34" s="32">
        <v>180</v>
      </c>
      <c r="Y34" s="32">
        <v>180</v>
      </c>
      <c r="Z34" s="32">
        <v>180</v>
      </c>
      <c r="AA34" s="32">
        <v>180</v>
      </c>
      <c r="AB34" s="32">
        <v>180</v>
      </c>
      <c r="AC34" s="17"/>
    </row>
    <row r="35" spans="1:29" ht="18.75" x14ac:dyDescent="0.3">
      <c r="A35" s="46"/>
      <c r="B35" s="31" t="s">
        <v>41</v>
      </c>
      <c r="C35" s="31" t="s">
        <v>42</v>
      </c>
      <c r="D35" s="56">
        <v>490</v>
      </c>
      <c r="E35" s="32">
        <v>490</v>
      </c>
      <c r="F35" s="32">
        <v>490</v>
      </c>
      <c r="G35" s="32">
        <v>490</v>
      </c>
      <c r="H35" s="32">
        <v>490</v>
      </c>
      <c r="I35" s="32">
        <v>490</v>
      </c>
      <c r="J35" s="32">
        <v>490</v>
      </c>
      <c r="K35" s="32">
        <v>490</v>
      </c>
      <c r="L35" s="32">
        <v>490</v>
      </c>
      <c r="M35" s="32">
        <v>490</v>
      </c>
      <c r="N35" s="32">
        <v>490</v>
      </c>
      <c r="O35" s="32">
        <v>490</v>
      </c>
      <c r="P35" s="17"/>
      <c r="Q35" s="32">
        <v>490</v>
      </c>
      <c r="R35" s="32">
        <v>490</v>
      </c>
      <c r="S35" s="32">
        <v>490</v>
      </c>
      <c r="T35" s="32">
        <v>490</v>
      </c>
      <c r="U35" s="32">
        <v>490</v>
      </c>
      <c r="V35" s="32">
        <v>490</v>
      </c>
      <c r="W35" s="32">
        <v>490</v>
      </c>
      <c r="X35" s="32">
        <v>490</v>
      </c>
      <c r="Y35" s="32">
        <v>490</v>
      </c>
      <c r="Z35" s="32">
        <v>490</v>
      </c>
      <c r="AA35" s="32">
        <v>490</v>
      </c>
      <c r="AB35" s="32">
        <v>490</v>
      </c>
      <c r="AC35" s="17"/>
    </row>
    <row r="36" spans="1:29" ht="18.75" x14ac:dyDescent="0.3">
      <c r="A36" s="46"/>
      <c r="B36" s="31" t="s">
        <v>43</v>
      </c>
      <c r="C36" s="31" t="s">
        <v>44</v>
      </c>
      <c r="D36" s="56">
        <v>500</v>
      </c>
      <c r="E36" s="32">
        <v>500</v>
      </c>
      <c r="F36" s="32">
        <v>500</v>
      </c>
      <c r="G36" s="32">
        <v>500</v>
      </c>
      <c r="H36" s="32">
        <v>500</v>
      </c>
      <c r="I36" s="32">
        <v>500</v>
      </c>
      <c r="J36" s="32">
        <v>500</v>
      </c>
      <c r="K36" s="32">
        <v>500</v>
      </c>
      <c r="L36" s="32">
        <v>500</v>
      </c>
      <c r="M36" s="32">
        <v>500</v>
      </c>
      <c r="N36" s="32">
        <v>500</v>
      </c>
      <c r="O36" s="32">
        <v>500</v>
      </c>
      <c r="P36" s="17"/>
      <c r="Q36" s="32">
        <v>500</v>
      </c>
      <c r="R36" s="32">
        <v>500</v>
      </c>
      <c r="S36" s="32">
        <v>500</v>
      </c>
      <c r="T36" s="32">
        <v>500</v>
      </c>
      <c r="U36" s="32">
        <v>500</v>
      </c>
      <c r="V36" s="32">
        <v>500</v>
      </c>
      <c r="W36" s="32">
        <v>500</v>
      </c>
      <c r="X36" s="32">
        <v>500</v>
      </c>
      <c r="Y36" s="32">
        <v>500</v>
      </c>
      <c r="Z36" s="32">
        <v>500</v>
      </c>
      <c r="AA36" s="32">
        <v>500</v>
      </c>
      <c r="AB36" s="32">
        <v>500</v>
      </c>
      <c r="AC36" s="17"/>
    </row>
    <row r="37" spans="1:29" ht="18.75" x14ac:dyDescent="0.3">
      <c r="A37" s="46"/>
      <c r="B37" s="95" t="s">
        <v>86</v>
      </c>
      <c r="C37" s="61" t="s">
        <v>87</v>
      </c>
      <c r="D37" s="63">
        <v>2000</v>
      </c>
      <c r="E37" s="62">
        <v>2000</v>
      </c>
      <c r="F37" s="62">
        <v>2000</v>
      </c>
      <c r="G37" s="62">
        <v>2000</v>
      </c>
      <c r="H37" s="62">
        <v>2000</v>
      </c>
      <c r="I37" s="62">
        <v>2000</v>
      </c>
      <c r="J37" s="62">
        <v>2000</v>
      </c>
      <c r="K37" s="62">
        <v>2000</v>
      </c>
      <c r="L37" s="62">
        <v>2000</v>
      </c>
      <c r="M37" s="62">
        <v>2000</v>
      </c>
      <c r="N37" s="62">
        <v>2000</v>
      </c>
      <c r="O37" s="62">
        <v>2000</v>
      </c>
      <c r="P37" s="17"/>
      <c r="Q37" s="62">
        <v>2500</v>
      </c>
      <c r="R37" s="62">
        <v>2500</v>
      </c>
      <c r="S37" s="62">
        <v>2500</v>
      </c>
      <c r="T37" s="62">
        <v>2500</v>
      </c>
      <c r="U37" s="62">
        <v>2500</v>
      </c>
      <c r="V37" s="62">
        <v>2500</v>
      </c>
      <c r="W37" s="62">
        <v>2500</v>
      </c>
      <c r="X37" s="62">
        <v>2500</v>
      </c>
      <c r="Y37" s="62">
        <v>2500</v>
      </c>
      <c r="Z37" s="62">
        <v>2500</v>
      </c>
      <c r="AA37" s="62">
        <v>2500</v>
      </c>
      <c r="AB37" s="62">
        <v>2500</v>
      </c>
      <c r="AC37" s="17"/>
    </row>
    <row r="38" spans="1:29" ht="18.75" x14ac:dyDescent="0.3">
      <c r="A38" s="46">
        <v>4</v>
      </c>
      <c r="B38" s="10" t="s">
        <v>83</v>
      </c>
      <c r="C38" s="11"/>
      <c r="D38" s="55">
        <f>D39</f>
        <v>2802.7874999999999</v>
      </c>
      <c r="E38" s="30">
        <f t="shared" ref="E38:AB38" si="25">E39</f>
        <v>7347.69</v>
      </c>
      <c r="F38" s="30">
        <f t="shared" si="25"/>
        <v>9320.2875000000004</v>
      </c>
      <c r="G38" s="30">
        <f t="shared" si="25"/>
        <v>13367.699999999999</v>
      </c>
      <c r="H38" s="30">
        <f t="shared" si="25"/>
        <v>14985.412499999999</v>
      </c>
      <c r="I38" s="30">
        <f t="shared" si="25"/>
        <v>21721.78125</v>
      </c>
      <c r="J38" s="30">
        <f t="shared" si="25"/>
        <v>22866.200812500003</v>
      </c>
      <c r="K38" s="30">
        <f t="shared" si="25"/>
        <v>25439.677453124998</v>
      </c>
      <c r="L38" s="30">
        <f t="shared" si="25"/>
        <v>18995.977120781248</v>
      </c>
      <c r="M38" s="30">
        <f t="shared" si="25"/>
        <v>18176.237430820311</v>
      </c>
      <c r="N38" s="30">
        <f t="shared" si="25"/>
        <v>15839.021947161327</v>
      </c>
      <c r="O38" s="30">
        <f t="shared" si="25"/>
        <v>17066.804218279394</v>
      </c>
      <c r="P38" s="16">
        <f>SUM(D38:O38)</f>
        <v>187929.57773266727</v>
      </c>
      <c r="Q38" s="30">
        <f t="shared" si="25"/>
        <v>13527.610844609364</v>
      </c>
      <c r="R38" s="30">
        <f t="shared" si="25"/>
        <v>20934.402471300771</v>
      </c>
      <c r="S38" s="30">
        <f t="shared" si="25"/>
        <v>25813.962841995883</v>
      </c>
      <c r="T38" s="30">
        <f t="shared" si="25"/>
        <v>33940.432268295262</v>
      </c>
      <c r="U38" s="30">
        <f t="shared" si="25"/>
        <v>52255.009608539549</v>
      </c>
      <c r="V38" s="30">
        <f t="shared" si="25"/>
        <v>61014.261049820481</v>
      </c>
      <c r="W38" s="30">
        <f t="shared" si="25"/>
        <v>69476.760207293555</v>
      </c>
      <c r="X38" s="30">
        <f t="shared" si="25"/>
        <v>79174.152238387571</v>
      </c>
      <c r="Y38" s="30">
        <f t="shared" si="25"/>
        <v>90289.9469741457</v>
      </c>
      <c r="Z38" s="30">
        <f t="shared" si="25"/>
        <v>74962.688165517568</v>
      </c>
      <c r="AA38" s="30">
        <f t="shared" si="25"/>
        <v>55220.983999288786</v>
      </c>
      <c r="AB38" s="30">
        <f t="shared" si="25"/>
        <v>47728.183199253217</v>
      </c>
      <c r="AC38" s="16">
        <f>SUM(Q38:AB38)</f>
        <v>624338.39386844763</v>
      </c>
    </row>
    <row r="39" spans="1:29" ht="19.5" thickBot="1" x14ac:dyDescent="0.35">
      <c r="A39" s="46"/>
      <c r="B39" s="36">
        <v>4.0999999999999996</v>
      </c>
      <c r="C39" s="31" t="s">
        <v>76</v>
      </c>
      <c r="D39" s="56">
        <f t="shared" ref="D39:O39" si="26">D15*0.06</f>
        <v>2802.7874999999999</v>
      </c>
      <c r="E39" s="32">
        <f>E15*0.06</f>
        <v>7347.69</v>
      </c>
      <c r="F39" s="32">
        <f>F15*0.06</f>
        <v>9320.2875000000004</v>
      </c>
      <c r="G39" s="32">
        <f t="shared" si="26"/>
        <v>13367.699999999999</v>
      </c>
      <c r="H39" s="32">
        <f t="shared" si="26"/>
        <v>14985.412499999999</v>
      </c>
      <c r="I39" s="32">
        <f t="shared" si="26"/>
        <v>21721.78125</v>
      </c>
      <c r="J39" s="32">
        <f t="shared" si="26"/>
        <v>22866.200812500003</v>
      </c>
      <c r="K39" s="32">
        <f t="shared" si="26"/>
        <v>25439.677453124998</v>
      </c>
      <c r="L39" s="32">
        <f t="shared" si="26"/>
        <v>18995.977120781248</v>
      </c>
      <c r="M39" s="32">
        <f t="shared" si="26"/>
        <v>18176.237430820311</v>
      </c>
      <c r="N39" s="32">
        <f t="shared" si="26"/>
        <v>15839.021947161327</v>
      </c>
      <c r="O39" s="32">
        <f t="shared" si="26"/>
        <v>17066.804218279394</v>
      </c>
      <c r="P39" s="17"/>
      <c r="Q39" s="32">
        <f t="shared" ref="Q39:AB39" si="27">Q15*0.06</f>
        <v>13527.610844609364</v>
      </c>
      <c r="R39" s="32">
        <f t="shared" si="27"/>
        <v>20934.402471300771</v>
      </c>
      <c r="S39" s="32">
        <f t="shared" si="27"/>
        <v>25813.962841995883</v>
      </c>
      <c r="T39" s="32">
        <f t="shared" si="27"/>
        <v>33940.432268295262</v>
      </c>
      <c r="U39" s="32">
        <f t="shared" si="27"/>
        <v>52255.009608539549</v>
      </c>
      <c r="V39" s="32">
        <f t="shared" si="27"/>
        <v>61014.261049820481</v>
      </c>
      <c r="W39" s="32">
        <f t="shared" si="27"/>
        <v>69476.760207293555</v>
      </c>
      <c r="X39" s="32">
        <f t="shared" si="27"/>
        <v>79174.152238387571</v>
      </c>
      <c r="Y39" s="32">
        <f t="shared" si="27"/>
        <v>90289.9469741457</v>
      </c>
      <c r="Z39" s="32">
        <f t="shared" si="27"/>
        <v>74962.688165517568</v>
      </c>
      <c r="AA39" s="32">
        <f t="shared" si="27"/>
        <v>55220.983999288786</v>
      </c>
      <c r="AB39" s="32">
        <f t="shared" si="27"/>
        <v>47728.183199253217</v>
      </c>
      <c r="AC39" s="17"/>
    </row>
    <row r="40" spans="1:29" ht="19.5" thickBot="1" x14ac:dyDescent="0.35">
      <c r="A40" s="46"/>
      <c r="B40" s="7" t="s">
        <v>45</v>
      </c>
      <c r="C40" s="8"/>
      <c r="D40" s="58">
        <f t="shared" ref="D40:O40" si="28">D15-SUM(D20,D26,D39)</f>
        <v>-15405.787499999999</v>
      </c>
      <c r="E40" s="37">
        <f t="shared" si="28"/>
        <v>36265.11</v>
      </c>
      <c r="F40" s="37">
        <f t="shared" si="28"/>
        <v>53016.712499999994</v>
      </c>
      <c r="G40" s="37">
        <f t="shared" si="28"/>
        <v>93009.3</v>
      </c>
      <c r="H40" s="37">
        <f t="shared" si="28"/>
        <v>106753.96249999999</v>
      </c>
      <c r="I40" s="37">
        <f>I15-SUM(I20,I26,I39)</f>
        <v>178560.70624999999</v>
      </c>
      <c r="J40" s="37">
        <f t="shared" si="28"/>
        <v>177076.50606250003</v>
      </c>
      <c r="K40" s="37">
        <f t="shared" si="28"/>
        <v>216280.47876562498</v>
      </c>
      <c r="L40" s="37">
        <f t="shared" si="28"/>
        <v>150063.87995890624</v>
      </c>
      <c r="M40" s="37">
        <f t="shared" si="28"/>
        <v>151427.41916285158</v>
      </c>
      <c r="N40" s="37">
        <f t="shared" si="28"/>
        <v>129856.31646819416</v>
      </c>
      <c r="O40" s="37">
        <f t="shared" si="28"/>
        <v>148881.95990824385</v>
      </c>
      <c r="P40" s="19">
        <f>SUM(D40:O40)</f>
        <v>1425786.5640763207</v>
      </c>
      <c r="Q40" s="37">
        <f t="shared" ref="Q40:AB40" si="29">Q15-SUM(Q20,Q26,Q39)</f>
        <v>110002.56989888006</v>
      </c>
      <c r="R40" s="37">
        <f t="shared" si="29"/>
        <v>195362.30538371208</v>
      </c>
      <c r="S40" s="37">
        <f t="shared" si="29"/>
        <v>247948.75119126885</v>
      </c>
      <c r="T40" s="37">
        <f t="shared" si="29"/>
        <v>327793.43886995915</v>
      </c>
      <c r="U40" s="37">
        <f t="shared" si="29"/>
        <v>537751.81720045302</v>
      </c>
      <c r="V40" s="37">
        <f t="shared" si="29"/>
        <v>641469.08978052088</v>
      </c>
      <c r="W40" s="37">
        <f t="shared" si="29"/>
        <v>740885.39324759913</v>
      </c>
      <c r="X40" s="37">
        <f t="shared" si="29"/>
        <v>854795.16423473868</v>
      </c>
      <c r="Y40" s="37">
        <f t="shared" si="29"/>
        <v>985351.47396994953</v>
      </c>
      <c r="Z40" s="37">
        <f t="shared" si="29"/>
        <v>816878.70986769197</v>
      </c>
      <c r="AA40" s="37">
        <f t="shared" si="29"/>
        <v>596806.29024719098</v>
      </c>
      <c r="AB40" s="37">
        <f t="shared" si="29"/>
        <v>515247.45475955046</v>
      </c>
      <c r="AC40" s="19">
        <f>SUM(Q40:AB40)</f>
        <v>6570292.4586515147</v>
      </c>
    </row>
    <row r="41" spans="1:29" x14ac:dyDescent="0.25">
      <c r="A41" s="46"/>
      <c r="B41" s="4"/>
      <c r="C41" s="4"/>
      <c r="D41" s="5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2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38"/>
    </row>
    <row r="42" spans="1:29" x14ac:dyDescent="0.25">
      <c r="A42" s="46"/>
      <c r="B42" s="4"/>
      <c r="C42" s="4"/>
      <c r="D42" s="5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1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38"/>
    </row>
    <row r="43" spans="1:29" x14ac:dyDescent="0.25">
      <c r="A43" s="46">
        <v>5</v>
      </c>
      <c r="B43" s="39" t="s">
        <v>46</v>
      </c>
      <c r="C43" s="39"/>
      <c r="D43" s="5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23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/>
    </row>
    <row r="44" spans="1:29" x14ac:dyDescent="0.25">
      <c r="A44" s="46"/>
      <c r="B44" s="4" t="s">
        <v>47</v>
      </c>
      <c r="C44" s="4"/>
      <c r="D44" s="56">
        <v>350000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1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38"/>
    </row>
    <row r="45" spans="1:29" x14ac:dyDescent="0.25">
      <c r="A45" s="46"/>
      <c r="B45" s="4" t="s">
        <v>77</v>
      </c>
      <c r="C45" s="4"/>
      <c r="D45" s="5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1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8"/>
    </row>
    <row r="46" spans="1:29" ht="30.75" customHeight="1" x14ac:dyDescent="0.25">
      <c r="A46" s="46"/>
      <c r="B46" s="4"/>
      <c r="C46" s="49" t="s">
        <v>88</v>
      </c>
      <c r="D46" s="56"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1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8"/>
    </row>
    <row r="47" spans="1:29" x14ac:dyDescent="0.25">
      <c r="A47" s="46"/>
      <c r="B47" s="4"/>
      <c r="C47" s="48" t="s">
        <v>79</v>
      </c>
      <c r="D47" s="56">
        <v>10000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1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8"/>
    </row>
    <row r="48" spans="1:29" x14ac:dyDescent="0.25">
      <c r="A48" s="46"/>
      <c r="B48" s="4"/>
      <c r="C48" s="50" t="s">
        <v>48</v>
      </c>
      <c r="D48" s="56">
        <f>SUM(D44,D46,D47)</f>
        <v>360000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  <c r="Q48" s="42">
        <f>D48+O52</f>
        <v>1425786.5640763207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8"/>
    </row>
    <row r="49" spans="1:29" ht="15.75" thickBot="1" x14ac:dyDescent="0.3">
      <c r="A49" s="46"/>
      <c r="B49" s="4"/>
      <c r="C49" s="4"/>
      <c r="D49" s="5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1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8"/>
    </row>
    <row r="50" spans="1:29" ht="19.5" thickBot="1" x14ac:dyDescent="0.3">
      <c r="A50" s="46">
        <v>6</v>
      </c>
      <c r="B50" s="20" t="s">
        <v>80</v>
      </c>
      <c r="C50" s="20"/>
      <c r="D50" s="131">
        <f>P40/D48</f>
        <v>3.9605182335453355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3"/>
      <c r="Q50" s="132">
        <f>AC40/Q48</f>
        <v>4.6081879463550717</v>
      </c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</row>
    <row r="51" spans="1:29" x14ac:dyDescent="0.25">
      <c r="A51" s="46"/>
      <c r="B51" s="4"/>
      <c r="C51" s="4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2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8"/>
    </row>
    <row r="52" spans="1:29" x14ac:dyDescent="0.25">
      <c r="A52" s="46">
        <v>7</v>
      </c>
      <c r="B52" s="87" t="s">
        <v>49</v>
      </c>
      <c r="C52" s="92">
        <f>0-D48</f>
        <v>-360000</v>
      </c>
      <c r="D52" s="88">
        <f>C52+D40</f>
        <v>-375405.78749999998</v>
      </c>
      <c r="E52" s="88">
        <f t="shared" ref="E52:O52" si="30">D52+E40</f>
        <v>-339140.67749999999</v>
      </c>
      <c r="F52" s="88">
        <f t="shared" si="30"/>
        <v>-286123.96499999997</v>
      </c>
      <c r="G52" s="88">
        <f t="shared" si="30"/>
        <v>-193114.66499999998</v>
      </c>
      <c r="H52" s="88">
        <f t="shared" si="30"/>
        <v>-86360.702499999985</v>
      </c>
      <c r="I52" s="88">
        <f t="shared" si="30"/>
        <v>92200.003750000003</v>
      </c>
      <c r="J52" s="88">
        <f t="shared" si="30"/>
        <v>269276.50981250004</v>
      </c>
      <c r="K52" s="88">
        <f t="shared" si="30"/>
        <v>485556.98857812502</v>
      </c>
      <c r="L52" s="88">
        <f t="shared" si="30"/>
        <v>635620.86853703123</v>
      </c>
      <c r="M52" s="88">
        <f t="shared" si="30"/>
        <v>787048.28769988287</v>
      </c>
      <c r="N52" s="88">
        <f t="shared" si="30"/>
        <v>916904.604168077</v>
      </c>
      <c r="O52" s="88">
        <f t="shared" si="30"/>
        <v>1065786.5640763207</v>
      </c>
      <c r="P52" s="89"/>
      <c r="Q52" s="88">
        <f>O52+Q40</f>
        <v>1175789.1339752008</v>
      </c>
      <c r="R52" s="88">
        <f t="shared" ref="R52:AB52" si="31">Q52+R40</f>
        <v>1371151.4393589129</v>
      </c>
      <c r="S52" s="88">
        <f t="shared" si="31"/>
        <v>1619100.1905501818</v>
      </c>
      <c r="T52" s="88">
        <f t="shared" si="31"/>
        <v>1946893.629420141</v>
      </c>
      <c r="U52" s="88">
        <f t="shared" si="31"/>
        <v>2484645.4466205938</v>
      </c>
      <c r="V52" s="88">
        <f t="shared" si="31"/>
        <v>3126114.5364011144</v>
      </c>
      <c r="W52" s="88">
        <f t="shared" si="31"/>
        <v>3866999.9296487137</v>
      </c>
      <c r="X52" s="88">
        <f t="shared" si="31"/>
        <v>4721795.093883452</v>
      </c>
      <c r="Y52" s="88">
        <f t="shared" si="31"/>
        <v>5707146.5678534014</v>
      </c>
      <c r="Z52" s="88">
        <f t="shared" si="31"/>
        <v>6524025.277721093</v>
      </c>
      <c r="AA52" s="88">
        <f t="shared" si="31"/>
        <v>7120831.5679682838</v>
      </c>
      <c r="AB52" s="88">
        <f t="shared" si="31"/>
        <v>7636079.0227278341</v>
      </c>
      <c r="AC52" s="38"/>
    </row>
    <row r="53" spans="1:29" ht="15.75" thickBot="1" x14ac:dyDescent="0.3">
      <c r="A53" s="91"/>
      <c r="B53" s="43" t="s">
        <v>106</v>
      </c>
      <c r="C53" s="93">
        <f xml:space="preserve"> (C52 + $D48) / $D48</f>
        <v>0</v>
      </c>
      <c r="D53" s="90">
        <f xml:space="preserve"> (D52 + $D48) / $D48</f>
        <v>-4.2793854166666603E-2</v>
      </c>
      <c r="E53" s="90">
        <f xml:space="preserve"> (E52 + $D48) / $D48</f>
        <v>5.7942562500000024E-2</v>
      </c>
      <c r="F53" s="90">
        <f t="shared" ref="F53:O53" si="32" xml:space="preserve"> (F52 + $D48) / $D48</f>
        <v>0.20521120833333342</v>
      </c>
      <c r="G53" s="90">
        <f t="shared" si="32"/>
        <v>0.46357037500000003</v>
      </c>
      <c r="H53" s="90">
        <f t="shared" si="32"/>
        <v>0.76010915972222215</v>
      </c>
      <c r="I53" s="90">
        <f t="shared" si="32"/>
        <v>1.2561111215277778</v>
      </c>
      <c r="J53" s="90">
        <f t="shared" si="32"/>
        <v>1.7479903050347225</v>
      </c>
      <c r="K53" s="90">
        <f t="shared" si="32"/>
        <v>2.3487694127170138</v>
      </c>
      <c r="L53" s="90">
        <f t="shared" si="32"/>
        <v>2.7656135237139758</v>
      </c>
      <c r="M53" s="90">
        <f t="shared" si="32"/>
        <v>3.1862452436107858</v>
      </c>
      <c r="N53" s="90">
        <f t="shared" si="32"/>
        <v>3.5469572338002138</v>
      </c>
      <c r="O53" s="90">
        <f t="shared" si="32"/>
        <v>3.9605182335453355</v>
      </c>
      <c r="P53" s="94"/>
      <c r="Q53" s="90">
        <f t="shared" ref="Q53:AA53" si="33" xml:space="preserve"> (Q52 + $D48) / $D48</f>
        <v>4.2660809277088916</v>
      </c>
      <c r="R53" s="90">
        <f t="shared" si="33"/>
        <v>4.8087539982192027</v>
      </c>
      <c r="S53" s="90">
        <f t="shared" si="33"/>
        <v>5.4975005293060608</v>
      </c>
      <c r="T53" s="90">
        <f t="shared" si="33"/>
        <v>6.4080378595003911</v>
      </c>
      <c r="U53" s="90">
        <f t="shared" si="33"/>
        <v>7.9017929072794271</v>
      </c>
      <c r="V53" s="90">
        <f t="shared" si="33"/>
        <v>9.6836514900030952</v>
      </c>
      <c r="W53" s="90">
        <f t="shared" si="33"/>
        <v>11.741666471246429</v>
      </c>
      <c r="X53" s="90">
        <f t="shared" si="33"/>
        <v>14.11609748300959</v>
      </c>
      <c r="Y53" s="90">
        <f t="shared" si="33"/>
        <v>16.853184910703892</v>
      </c>
      <c r="Z53" s="90">
        <f t="shared" si="33"/>
        <v>19.122292438114147</v>
      </c>
      <c r="AA53" s="90">
        <f t="shared" si="33"/>
        <v>20.780087688800787</v>
      </c>
      <c r="AB53" s="90">
        <f xml:space="preserve"> (AB52 + $D48) / $D48</f>
        <v>22.211330618688429</v>
      </c>
      <c r="AC53" s="44"/>
    </row>
  </sheetData>
  <mergeCells count="4">
    <mergeCell ref="P1:P2"/>
    <mergeCell ref="AC1:AC2"/>
    <mergeCell ref="D50:P50"/>
    <mergeCell ref="Q50:AC50"/>
  </mergeCells>
  <pageMargins left="0.7" right="0.7" top="0.75" bottom="0.75" header="0.3" footer="0.3"/>
  <ignoredErrors>
    <ignoredError sqref="D17:O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pane xSplit="5" ySplit="10" topLeftCell="F49" activePane="bottomRight" state="frozen"/>
      <selection pane="topRight" activeCell="F1" sqref="F1"/>
      <selection pane="bottomLeft" activeCell="A11" sqref="A11"/>
      <selection pane="bottomRight" activeCell="D49" sqref="D49"/>
    </sheetView>
  </sheetViews>
  <sheetFormatPr defaultRowHeight="15" x14ac:dyDescent="0.25"/>
  <cols>
    <col min="2" max="2" width="31.140625" customWidth="1"/>
    <col min="3" max="3" width="40.42578125" customWidth="1"/>
    <col min="4" max="5" width="12.28515625" bestFit="1" customWidth="1"/>
    <col min="6" max="9" width="12.28515625" customWidth="1"/>
    <col min="10" max="15" width="12.28515625" bestFit="1" customWidth="1"/>
    <col min="16" max="16" width="17.7109375" customWidth="1"/>
    <col min="17" max="27" width="12.5703125" bestFit="1" customWidth="1"/>
    <col min="28" max="28" width="13.42578125" bestFit="1" customWidth="1"/>
    <col min="29" max="29" width="16.28515625" customWidth="1"/>
  </cols>
  <sheetData>
    <row r="1" spans="1:29" ht="15.75" thickBot="1" x14ac:dyDescent="0.3">
      <c r="A1" s="45"/>
      <c r="B1" s="47" t="s">
        <v>16</v>
      </c>
      <c r="C1" s="47"/>
      <c r="D1" s="51">
        <v>2020</v>
      </c>
      <c r="E1" s="51">
        <v>2020</v>
      </c>
      <c r="F1" s="51">
        <v>2020</v>
      </c>
      <c r="G1" s="24">
        <v>2020</v>
      </c>
      <c r="H1" s="24">
        <v>2020</v>
      </c>
      <c r="I1" s="24">
        <v>2020</v>
      </c>
      <c r="J1" s="24">
        <v>2020</v>
      </c>
      <c r="K1" s="24">
        <v>2020</v>
      </c>
      <c r="L1" s="24">
        <v>2020</v>
      </c>
      <c r="M1" s="24">
        <v>2020</v>
      </c>
      <c r="N1" s="24">
        <v>2020</v>
      </c>
      <c r="O1" s="24">
        <v>2020</v>
      </c>
      <c r="P1" s="129" t="s">
        <v>81</v>
      </c>
      <c r="Q1" s="24">
        <v>2021</v>
      </c>
      <c r="R1" s="24">
        <v>2021</v>
      </c>
      <c r="S1" s="24">
        <v>2021</v>
      </c>
      <c r="T1" s="24">
        <v>2021</v>
      </c>
      <c r="U1" s="24">
        <v>2021</v>
      </c>
      <c r="V1" s="24">
        <v>2021</v>
      </c>
      <c r="W1" s="24">
        <v>2021</v>
      </c>
      <c r="X1" s="24">
        <v>2021</v>
      </c>
      <c r="Y1" s="24">
        <v>2021</v>
      </c>
      <c r="Z1" s="24">
        <v>2021</v>
      </c>
      <c r="AA1" s="24">
        <v>2021</v>
      </c>
      <c r="AB1" s="24">
        <v>2021</v>
      </c>
      <c r="AC1" s="129" t="s">
        <v>82</v>
      </c>
    </row>
    <row r="2" spans="1:29" ht="16.5" thickTop="1" thickBot="1" x14ac:dyDescent="0.3">
      <c r="A2" s="46"/>
      <c r="B2" s="5"/>
      <c r="C2" s="4"/>
      <c r="D2" s="52" t="s">
        <v>58</v>
      </c>
      <c r="E2" s="85" t="s">
        <v>59</v>
      </c>
      <c r="F2" s="52" t="s">
        <v>60</v>
      </c>
      <c r="G2" s="25" t="s">
        <v>61</v>
      </c>
      <c r="H2" s="25" t="s">
        <v>50</v>
      </c>
      <c r="I2" s="25" t="s">
        <v>51</v>
      </c>
      <c r="J2" s="25" t="s">
        <v>52</v>
      </c>
      <c r="K2" s="25" t="s">
        <v>53</v>
      </c>
      <c r="L2" s="25" t="s">
        <v>54</v>
      </c>
      <c r="M2" s="25" t="s">
        <v>55</v>
      </c>
      <c r="N2" s="25" t="s">
        <v>56</v>
      </c>
      <c r="O2" s="25" t="s">
        <v>57</v>
      </c>
      <c r="P2" s="134"/>
      <c r="Q2" s="25" t="s">
        <v>58</v>
      </c>
      <c r="R2" s="25" t="s">
        <v>59</v>
      </c>
      <c r="S2" s="25" t="s">
        <v>60</v>
      </c>
      <c r="T2" s="25" t="s">
        <v>61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55</v>
      </c>
      <c r="AA2" s="25" t="s">
        <v>56</v>
      </c>
      <c r="AB2" s="25" t="s">
        <v>57</v>
      </c>
      <c r="AC2" s="134"/>
    </row>
    <row r="3" spans="1:29" x14ac:dyDescent="0.25">
      <c r="A3" s="46"/>
      <c r="B3" s="7" t="s">
        <v>17</v>
      </c>
      <c r="C3" s="8"/>
      <c r="D3" s="65">
        <f>mini!D3*2.5</f>
        <v>12.5</v>
      </c>
      <c r="E3" s="66">
        <f>mini!E3*2.5</f>
        <v>25</v>
      </c>
      <c r="F3" s="65">
        <f>mini!F3*2.5</f>
        <v>50</v>
      </c>
      <c r="G3" s="66">
        <f>mini!G3*2.5</f>
        <v>50</v>
      </c>
      <c r="H3" s="66">
        <f>mini!H3*2.5</f>
        <v>62.5</v>
      </c>
      <c r="I3" s="66">
        <f>mini!I3*2.5</f>
        <v>75</v>
      </c>
      <c r="J3" s="66">
        <f>mini!J3*2.5</f>
        <v>75</v>
      </c>
      <c r="K3" s="66">
        <f>mini!K3*2.5</f>
        <v>75</v>
      </c>
      <c r="L3" s="66">
        <f>mini!L3*2.5</f>
        <v>75</v>
      </c>
      <c r="M3" s="66">
        <f>mini!M3*2.5</f>
        <v>75</v>
      </c>
      <c r="N3" s="66">
        <f>mini!N3*2.5</f>
        <v>75</v>
      </c>
      <c r="O3" s="66">
        <f>mini!O3*2.5</f>
        <v>75</v>
      </c>
      <c r="P3" s="12"/>
      <c r="Q3" s="66">
        <f>mini!Q3*2.5</f>
        <v>50</v>
      </c>
      <c r="R3" s="66">
        <f>mini!R3*2.5</f>
        <v>50</v>
      </c>
      <c r="S3" s="66">
        <f>mini!S3*2.5</f>
        <v>50</v>
      </c>
      <c r="T3" s="66">
        <f>mini!T3*2.5</f>
        <v>62.5</v>
      </c>
      <c r="U3" s="66">
        <f>mini!U3*2.5</f>
        <v>112.5</v>
      </c>
      <c r="V3" s="66">
        <f>mini!V3*2.5</f>
        <v>150</v>
      </c>
      <c r="W3" s="66">
        <f>mini!W3*2.5</f>
        <v>175</v>
      </c>
      <c r="X3" s="66">
        <f>mini!X3*2.5</f>
        <v>225</v>
      </c>
      <c r="Y3" s="66">
        <f>mini!Y3*2.5</f>
        <v>225</v>
      </c>
      <c r="Z3" s="66">
        <f>mini!Z3*2.5</f>
        <v>237.5</v>
      </c>
      <c r="AA3" s="66">
        <f>mini!AA3*2.5</f>
        <v>237.5</v>
      </c>
      <c r="AB3" s="66">
        <f>mini!AB3*2.5</f>
        <v>250</v>
      </c>
      <c r="AC3" s="13"/>
    </row>
    <row r="4" spans="1:29" x14ac:dyDescent="0.25">
      <c r="A4" s="46"/>
      <c r="B4" s="5"/>
      <c r="C4" s="4"/>
      <c r="D4" s="5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3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3"/>
    </row>
    <row r="5" spans="1:29" x14ac:dyDescent="0.25">
      <c r="A5" s="46"/>
      <c r="B5" s="10" t="s">
        <v>18</v>
      </c>
      <c r="C5" s="11"/>
      <c r="D5" s="5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3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</row>
    <row r="6" spans="1:29" ht="18.75" x14ac:dyDescent="0.3">
      <c r="A6" s="46"/>
      <c r="B6" s="5"/>
      <c r="C6" s="9" t="s">
        <v>62</v>
      </c>
      <c r="D6" s="64">
        <f>mini!D6*3</f>
        <v>435</v>
      </c>
      <c r="E6" s="28">
        <f>mini!E6*3</f>
        <v>804</v>
      </c>
      <c r="F6" s="64">
        <f>mini!F6*3</f>
        <v>1035</v>
      </c>
      <c r="G6" s="28">
        <f>mini!G6*3</f>
        <v>1344</v>
      </c>
      <c r="H6" s="28">
        <f>mini!H6*3</f>
        <v>1521</v>
      </c>
      <c r="I6" s="28">
        <f>mini!I6*3</f>
        <v>2340</v>
      </c>
      <c r="J6" s="28">
        <f>mini!J6*3</f>
        <v>2436</v>
      </c>
      <c r="K6" s="28">
        <f>mini!K6*3</f>
        <v>2775</v>
      </c>
      <c r="L6" s="28">
        <f>mini!L6*3</f>
        <v>2274</v>
      </c>
      <c r="M6" s="28">
        <f>mini!M6*3</f>
        <v>2040</v>
      </c>
      <c r="N6" s="28">
        <f>mini!N6*3</f>
        <v>1668</v>
      </c>
      <c r="O6" s="28">
        <f>mini!O6*3</f>
        <v>1845</v>
      </c>
      <c r="P6" s="14">
        <f>SUM(D6:O6)</f>
        <v>20517</v>
      </c>
      <c r="Q6" s="28">
        <f>mini!Q6*3</f>
        <v>1200</v>
      </c>
      <c r="R6" s="28">
        <f>mini!R6*3</f>
        <v>2400</v>
      </c>
      <c r="S6" s="28">
        <f>mini!S6*3</f>
        <v>3000</v>
      </c>
      <c r="T6" s="28">
        <f>mini!T6*3</f>
        <v>4200</v>
      </c>
      <c r="U6" s="28">
        <f>mini!U6*3</f>
        <v>5879.9999999999991</v>
      </c>
      <c r="V6" s="28">
        <f>mini!V6*3</f>
        <v>6761.9999999999982</v>
      </c>
      <c r="W6" s="28">
        <f>mini!W6*3</f>
        <v>7776.2999999999984</v>
      </c>
      <c r="X6" s="28">
        <f>mini!X6*3</f>
        <v>8942.7449999999972</v>
      </c>
      <c r="Y6" s="28">
        <f>mini!Y6*3</f>
        <v>10284.156749999996</v>
      </c>
      <c r="Z6" s="28">
        <f>mini!Z6*3</f>
        <v>10798.364587499997</v>
      </c>
      <c r="AA6" s="28">
        <f>mini!AA6*3</f>
        <v>7200</v>
      </c>
      <c r="AB6" s="28">
        <f>mini!AB6*3</f>
        <v>5700</v>
      </c>
      <c r="AC6" s="15">
        <f>SUM(Q6:AB6)</f>
        <v>74143.566337499986</v>
      </c>
    </row>
    <row r="7" spans="1:29" ht="18.75" x14ac:dyDescent="0.3">
      <c r="A7" s="46"/>
      <c r="B7" s="5"/>
      <c r="C7" s="9" t="s">
        <v>63</v>
      </c>
      <c r="D7" s="64">
        <f>mini!D7*3</f>
        <v>60</v>
      </c>
      <c r="E7" s="28">
        <f>mini!E7*3</f>
        <v>135</v>
      </c>
      <c r="F7" s="64">
        <f>mini!F7*3</f>
        <v>180</v>
      </c>
      <c r="G7" s="28">
        <f>mini!G7*3</f>
        <v>216</v>
      </c>
      <c r="H7" s="28">
        <f>mini!H7*3</f>
        <v>240</v>
      </c>
      <c r="I7" s="28">
        <f>mini!I7*3</f>
        <v>360</v>
      </c>
      <c r="J7" s="28">
        <f>mini!J7*3</f>
        <v>390</v>
      </c>
      <c r="K7" s="28">
        <f>mini!K7*3</f>
        <v>360</v>
      </c>
      <c r="L7" s="28">
        <f>mini!L7*3</f>
        <v>450</v>
      </c>
      <c r="M7" s="28">
        <f>mini!M7*3</f>
        <v>450</v>
      </c>
      <c r="N7" s="28">
        <f>mini!N7*3</f>
        <v>300</v>
      </c>
      <c r="O7" s="28">
        <f>mini!O7*3</f>
        <v>240</v>
      </c>
      <c r="P7" s="14">
        <f>SUM(D7:O7)</f>
        <v>3381</v>
      </c>
      <c r="Q7" s="28">
        <f>mini!Q7*3</f>
        <v>270</v>
      </c>
      <c r="R7" s="28">
        <f>mini!R7*3</f>
        <v>300</v>
      </c>
      <c r="S7" s="28">
        <f>mini!S7*3</f>
        <v>375</v>
      </c>
      <c r="T7" s="28">
        <f>mini!T7*3</f>
        <v>525</v>
      </c>
      <c r="U7" s="28">
        <f>mini!U7*3</f>
        <v>734.99999999999989</v>
      </c>
      <c r="V7" s="28">
        <f>mini!V7*3</f>
        <v>1028.9999999999998</v>
      </c>
      <c r="W7" s="28">
        <f>mini!W7*3</f>
        <v>1080.4499999999998</v>
      </c>
      <c r="X7" s="28">
        <f>mini!X7*3</f>
        <v>1134.4724999999999</v>
      </c>
      <c r="Y7" s="28">
        <f>mini!Y7*3</f>
        <v>1191.1961249999999</v>
      </c>
      <c r="Z7" s="28">
        <f>mini!Z7*3</f>
        <v>750</v>
      </c>
      <c r="AA7" s="28">
        <f>mini!AA7*3</f>
        <v>600</v>
      </c>
      <c r="AB7" s="28">
        <f>mini!AB7*3</f>
        <v>600</v>
      </c>
      <c r="AC7" s="15">
        <f t="shared" ref="AC7:AC10" si="0">SUM(Q7:AB7)</f>
        <v>8590.1186249999992</v>
      </c>
    </row>
    <row r="8" spans="1:29" ht="18.75" x14ac:dyDescent="0.3">
      <c r="A8" s="46"/>
      <c r="B8" s="5"/>
      <c r="C8" s="9" t="s">
        <v>64</v>
      </c>
      <c r="D8" s="64">
        <f>mini!D8*3</f>
        <v>6</v>
      </c>
      <c r="E8" s="28">
        <f>mini!E8*3</f>
        <v>24</v>
      </c>
      <c r="F8" s="64">
        <f>mini!F8*3</f>
        <v>45</v>
      </c>
      <c r="G8" s="28">
        <f>mini!G8*3</f>
        <v>36</v>
      </c>
      <c r="H8" s="28">
        <f>mini!H8*3</f>
        <v>43.199999999999996</v>
      </c>
      <c r="I8" s="28">
        <f>mini!I8*3</f>
        <v>51.839999999999989</v>
      </c>
      <c r="J8" s="28">
        <f>mini!J8*3</f>
        <v>62.207999999999991</v>
      </c>
      <c r="K8" s="28">
        <f>mini!K8*3</f>
        <v>74.649599999999992</v>
      </c>
      <c r="L8" s="28">
        <f>mini!L8*3</f>
        <v>89.579519999999974</v>
      </c>
      <c r="M8" s="28">
        <f>mini!M8*3</f>
        <v>107.49542399999996</v>
      </c>
      <c r="N8" s="28">
        <f>mini!N8*3</f>
        <v>128.99450879999995</v>
      </c>
      <c r="O8" s="28">
        <f>mini!O8*3</f>
        <v>154.79341055999993</v>
      </c>
      <c r="P8" s="15">
        <f>SUM(D8:O8)</f>
        <v>823.76046335999968</v>
      </c>
      <c r="Q8" s="28">
        <f>mini!Q8*3</f>
        <v>135</v>
      </c>
      <c r="R8" s="28">
        <f>mini!R8*3</f>
        <v>150</v>
      </c>
      <c r="S8" s="28">
        <f>mini!S8*3</f>
        <v>187.5</v>
      </c>
      <c r="T8" s="28">
        <f>mini!T8*3</f>
        <v>196.875</v>
      </c>
      <c r="U8" s="28">
        <f>mini!U8*3</f>
        <v>60</v>
      </c>
      <c r="V8" s="28">
        <f>mini!V8*3</f>
        <v>63</v>
      </c>
      <c r="W8" s="28">
        <f>mini!W8*3</f>
        <v>66.150000000000006</v>
      </c>
      <c r="X8" s="28">
        <f>mini!X8*3</f>
        <v>69.45750000000001</v>
      </c>
      <c r="Y8" s="28">
        <f>mini!Y8*3</f>
        <v>72.930375000000012</v>
      </c>
      <c r="Z8" s="28">
        <f>mini!Z8*3</f>
        <v>76.576893750000011</v>
      </c>
      <c r="AA8" s="28">
        <f>mini!AA8*3</f>
        <v>80.40573843750002</v>
      </c>
      <c r="AB8" s="28">
        <f>mini!AB8*3</f>
        <v>84.426025359375018</v>
      </c>
      <c r="AC8" s="15">
        <f t="shared" si="0"/>
        <v>1242.321532546875</v>
      </c>
    </row>
    <row r="9" spans="1:29" ht="18.75" x14ac:dyDescent="0.3">
      <c r="A9" s="46"/>
      <c r="B9" s="5"/>
      <c r="C9" s="67" t="s">
        <v>89</v>
      </c>
      <c r="D9" s="64">
        <v>5</v>
      </c>
      <c r="E9" s="28">
        <f>D9*1.2</f>
        <v>6</v>
      </c>
      <c r="F9" s="28">
        <f t="shared" ref="F9:O9" si="1">E9*1.2</f>
        <v>7.1999999999999993</v>
      </c>
      <c r="G9" s="28">
        <f t="shared" si="1"/>
        <v>8.6399999999999988</v>
      </c>
      <c r="H9" s="28">
        <f t="shared" si="1"/>
        <v>10.367999999999999</v>
      </c>
      <c r="I9" s="28">
        <f t="shared" si="1"/>
        <v>12.441599999999998</v>
      </c>
      <c r="J9" s="28">
        <f t="shared" si="1"/>
        <v>14.929919999999996</v>
      </c>
      <c r="K9" s="28">
        <f t="shared" si="1"/>
        <v>17.915903999999994</v>
      </c>
      <c r="L9" s="28">
        <f t="shared" si="1"/>
        <v>21.499084799999991</v>
      </c>
      <c r="M9" s="28">
        <f t="shared" si="1"/>
        <v>25.798901759999989</v>
      </c>
      <c r="N9" s="28">
        <f t="shared" si="1"/>
        <v>30.958682111999984</v>
      </c>
      <c r="O9" s="28">
        <f t="shared" si="1"/>
        <v>37.150418534399982</v>
      </c>
      <c r="P9" s="15">
        <f t="shared" ref="P9:P10" si="2">SUM(D9:O9)</f>
        <v>197.90251120639994</v>
      </c>
      <c r="Q9" s="28">
        <v>10</v>
      </c>
      <c r="R9" s="28">
        <v>12</v>
      </c>
      <c r="S9" s="28">
        <f>R9*1.2</f>
        <v>14.399999999999999</v>
      </c>
      <c r="T9" s="28">
        <f t="shared" ref="T9:Z9" si="3">S9*1.2</f>
        <v>17.279999999999998</v>
      </c>
      <c r="U9" s="28">
        <f t="shared" si="3"/>
        <v>20.735999999999997</v>
      </c>
      <c r="V9" s="28">
        <f t="shared" si="3"/>
        <v>24.883199999999995</v>
      </c>
      <c r="W9" s="28">
        <f t="shared" si="3"/>
        <v>29.859839999999991</v>
      </c>
      <c r="X9" s="28">
        <f t="shared" si="3"/>
        <v>35.831807999999988</v>
      </c>
      <c r="Y9" s="28">
        <f t="shared" si="3"/>
        <v>42.998169599999983</v>
      </c>
      <c r="Z9" s="28">
        <f t="shared" si="3"/>
        <v>51.597803519999978</v>
      </c>
      <c r="AA9" s="28">
        <f>Z9*1.05</f>
        <v>54.177693695999977</v>
      </c>
      <c r="AB9" s="28">
        <f>AA9*1.05</f>
        <v>56.886578380799982</v>
      </c>
      <c r="AC9" s="15">
        <f t="shared" si="0"/>
        <v>370.65109319679982</v>
      </c>
    </row>
    <row r="10" spans="1:29" ht="18.75" x14ac:dyDescent="0.3">
      <c r="A10" s="46"/>
      <c r="B10" s="5"/>
      <c r="C10" s="67" t="s">
        <v>90</v>
      </c>
      <c r="D10" s="54">
        <v>10</v>
      </c>
      <c r="E10" s="28">
        <f>D10*1.2</f>
        <v>12</v>
      </c>
      <c r="F10" s="28">
        <f t="shared" ref="F10:O10" si="4">E10*1.2</f>
        <v>14.399999999999999</v>
      </c>
      <c r="G10" s="28">
        <f t="shared" si="4"/>
        <v>17.279999999999998</v>
      </c>
      <c r="H10" s="28">
        <f t="shared" si="4"/>
        <v>20.735999999999997</v>
      </c>
      <c r="I10" s="28">
        <f t="shared" si="4"/>
        <v>24.883199999999995</v>
      </c>
      <c r="J10" s="28">
        <f t="shared" si="4"/>
        <v>29.859839999999991</v>
      </c>
      <c r="K10" s="28">
        <f t="shared" si="4"/>
        <v>35.831807999999988</v>
      </c>
      <c r="L10" s="28">
        <f t="shared" si="4"/>
        <v>42.998169599999983</v>
      </c>
      <c r="M10" s="28">
        <f t="shared" si="4"/>
        <v>51.597803519999978</v>
      </c>
      <c r="N10" s="28">
        <f t="shared" si="4"/>
        <v>61.917364223999968</v>
      </c>
      <c r="O10" s="28">
        <f t="shared" si="4"/>
        <v>74.300837068799964</v>
      </c>
      <c r="P10" s="15">
        <f t="shared" si="2"/>
        <v>395.80502241279987</v>
      </c>
      <c r="Q10" s="28">
        <v>35</v>
      </c>
      <c r="R10" s="28">
        <f>Q10*1.5</f>
        <v>52.5</v>
      </c>
      <c r="S10" s="28">
        <f t="shared" ref="S10:W10" si="5">R10*1.5</f>
        <v>78.75</v>
      </c>
      <c r="T10" s="28">
        <f t="shared" si="5"/>
        <v>118.125</v>
      </c>
      <c r="U10" s="28">
        <f>T10*1.5</f>
        <v>177.1875</v>
      </c>
      <c r="V10" s="28">
        <f t="shared" si="5"/>
        <v>265.78125</v>
      </c>
      <c r="W10" s="28">
        <f t="shared" si="5"/>
        <v>398.671875</v>
      </c>
      <c r="X10" s="28">
        <f>W10*1.1</f>
        <v>438.53906250000006</v>
      </c>
      <c r="Y10" s="28">
        <f t="shared" ref="Y10:AB10" si="6">X10*1.1</f>
        <v>482.39296875000008</v>
      </c>
      <c r="Z10" s="28">
        <f t="shared" si="6"/>
        <v>530.63226562500017</v>
      </c>
      <c r="AA10" s="28">
        <f t="shared" si="6"/>
        <v>583.69549218750024</v>
      </c>
      <c r="AB10" s="28">
        <f t="shared" si="6"/>
        <v>642.06504140625032</v>
      </c>
      <c r="AC10" s="15">
        <f t="shared" si="0"/>
        <v>3803.3404554687509</v>
      </c>
    </row>
    <row r="11" spans="1:29" ht="18.75" x14ac:dyDescent="0.3">
      <c r="A11" s="46"/>
      <c r="B11" s="5"/>
      <c r="C11" s="25"/>
      <c r="D11" s="5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8"/>
    </row>
    <row r="12" spans="1:29" ht="18.75" x14ac:dyDescent="0.3">
      <c r="A12" s="46">
        <v>1</v>
      </c>
      <c r="B12" s="10" t="s">
        <v>72</v>
      </c>
      <c r="C12" s="11"/>
      <c r="D12" s="55">
        <f t="shared" ref="D12:O12" si="7">SUM(D13:D15)</f>
        <v>365538</v>
      </c>
      <c r="E12" s="30">
        <f t="shared" si="7"/>
        <v>746539.2</v>
      </c>
      <c r="F12" s="30">
        <f t="shared" si="7"/>
        <v>1022418</v>
      </c>
      <c r="G12" s="30">
        <f t="shared" si="7"/>
        <v>1502208</v>
      </c>
      <c r="H12" s="30">
        <f t="shared" si="7"/>
        <v>1706322</v>
      </c>
      <c r="I12" s="30">
        <f t="shared" si="7"/>
        <v>2559240</v>
      </c>
      <c r="J12" s="30">
        <f t="shared" si="7"/>
        <v>2709384</v>
      </c>
      <c r="K12" s="30">
        <f t="shared" si="7"/>
        <v>3034148.4</v>
      </c>
      <c r="L12" s="30">
        <f t="shared" si="7"/>
        <v>2252813.2799999998</v>
      </c>
      <c r="M12" s="30">
        <f t="shared" si="7"/>
        <v>2166573.696</v>
      </c>
      <c r="N12" s="30">
        <f t="shared" si="7"/>
        <v>1881544.4351999997</v>
      </c>
      <c r="O12" s="30">
        <f t="shared" si="7"/>
        <v>2056179.6422399997</v>
      </c>
      <c r="P12" s="16">
        <f>SUM(D12:O12)</f>
        <v>22002908.653439995</v>
      </c>
      <c r="Q12" s="30">
        <f t="shared" ref="Q12:AB12" si="8">SUM(Q13:Q16)</f>
        <v>1615760</v>
      </c>
      <c r="R12" s="30">
        <f t="shared" si="8"/>
        <v>2519520</v>
      </c>
      <c r="S12" s="30">
        <f t="shared" si="8"/>
        <v>3146400</v>
      </c>
      <c r="T12" s="30">
        <f t="shared" si="8"/>
        <v>4128060</v>
      </c>
      <c r="U12" s="30">
        <f t="shared" si="8"/>
        <v>6117839.9999999991</v>
      </c>
      <c r="V12" s="30">
        <f t="shared" si="8"/>
        <v>7163699.9999999981</v>
      </c>
      <c r="W12" s="30">
        <f t="shared" si="8"/>
        <v>8136955.7999999989</v>
      </c>
      <c r="X12" s="30">
        <f t="shared" si="8"/>
        <v>9252068.1299999952</v>
      </c>
      <c r="Y12" s="30">
        <f t="shared" si="8"/>
        <v>10530295.501499996</v>
      </c>
      <c r="Z12" s="30">
        <f t="shared" si="8"/>
        <v>8451033.0162449963</v>
      </c>
      <c r="AA12" s="30">
        <f t="shared" si="8"/>
        <v>5931071.4222300006</v>
      </c>
      <c r="AB12" s="30">
        <f t="shared" si="8"/>
        <v>4948496.9933414999</v>
      </c>
      <c r="AC12" s="16">
        <f>SUM(Q12:AB12)</f>
        <v>71941200.863316476</v>
      </c>
    </row>
    <row r="13" spans="1:29" ht="18.75" x14ac:dyDescent="0.3">
      <c r="A13" s="46"/>
      <c r="B13" s="31" t="s">
        <v>20</v>
      </c>
      <c r="C13" s="31" t="s">
        <v>21</v>
      </c>
      <c r="D13" s="56">
        <f>mini!D12*2.8</f>
        <v>293538</v>
      </c>
      <c r="E13" s="32">
        <f>mini!E12*2.8</f>
        <v>542539.19999999995</v>
      </c>
      <c r="F13" s="56">
        <f>mini!F12*2.8</f>
        <v>698418</v>
      </c>
      <c r="G13" s="32">
        <f>mini!G12*2.8</f>
        <v>1185408</v>
      </c>
      <c r="H13" s="32">
        <f>mini!H12*2.8</f>
        <v>1341522</v>
      </c>
      <c r="I13" s="32">
        <f>mini!I12*2.8</f>
        <v>2063879.9999999998</v>
      </c>
      <c r="J13" s="32">
        <f>mini!J12*2.8</f>
        <v>2148552</v>
      </c>
      <c r="K13" s="32">
        <f>mini!K12*2.8</f>
        <v>2447550</v>
      </c>
      <c r="L13" s="32">
        <f>mini!L12*2.8</f>
        <v>1534495.2</v>
      </c>
      <c r="M13" s="32">
        <f>mini!M12*2.8</f>
        <v>1376592</v>
      </c>
      <c r="N13" s="32">
        <f>mini!N12*2.8</f>
        <v>1125566.3999999999</v>
      </c>
      <c r="O13" s="32">
        <f>mini!O12*2.8</f>
        <v>1245006</v>
      </c>
      <c r="P13" s="17"/>
      <c r="Q13" s="32">
        <f>mini!Q12*2.8</f>
        <v>809760</v>
      </c>
      <c r="R13" s="32">
        <f>mini!R12*2.8</f>
        <v>1619520</v>
      </c>
      <c r="S13" s="32">
        <f>mini!S12*2.8</f>
        <v>2024399.9999999998</v>
      </c>
      <c r="T13" s="32">
        <f>mini!T12*2.8</f>
        <v>2834160</v>
      </c>
      <c r="U13" s="32">
        <f>mini!U12*2.8</f>
        <v>5186159.9999999991</v>
      </c>
      <c r="V13" s="32">
        <f>mini!V12*2.8</f>
        <v>5964083.9999999981</v>
      </c>
      <c r="W13" s="32">
        <f>mini!W12*2.8</f>
        <v>6858696.5999999987</v>
      </c>
      <c r="X13" s="32">
        <f>mini!X12*2.8</f>
        <v>7887501.0899999961</v>
      </c>
      <c r="Y13" s="32">
        <f>mini!Y12*2.8</f>
        <v>9070626.2534999959</v>
      </c>
      <c r="Z13" s="32">
        <f>mini!Z12*2.8</f>
        <v>7286736.4236449972</v>
      </c>
      <c r="AA13" s="32">
        <f>mini!AA12*2.8</f>
        <v>4858560</v>
      </c>
      <c r="AB13" s="32">
        <f>mini!AB12*2.8</f>
        <v>3846359.9999999995</v>
      </c>
      <c r="AC13" s="17"/>
    </row>
    <row r="14" spans="1:29" ht="18.75" x14ac:dyDescent="0.3">
      <c r="A14" s="46"/>
      <c r="B14" s="31" t="s">
        <v>22</v>
      </c>
      <c r="C14" s="31" t="s">
        <v>23</v>
      </c>
      <c r="D14" s="56">
        <f>2*400*D7</f>
        <v>48000</v>
      </c>
      <c r="E14" s="32">
        <f t="shared" ref="E14:O14" si="9">2*400*E7</f>
        <v>108000</v>
      </c>
      <c r="F14" s="56">
        <f t="shared" si="9"/>
        <v>144000</v>
      </c>
      <c r="G14" s="32">
        <f t="shared" si="9"/>
        <v>172800</v>
      </c>
      <c r="H14" s="32">
        <f t="shared" si="9"/>
        <v>192000</v>
      </c>
      <c r="I14" s="32">
        <f t="shared" si="9"/>
        <v>288000</v>
      </c>
      <c r="J14" s="32">
        <f t="shared" si="9"/>
        <v>312000</v>
      </c>
      <c r="K14" s="32">
        <f t="shared" si="9"/>
        <v>288000</v>
      </c>
      <c r="L14" s="32">
        <f t="shared" si="9"/>
        <v>360000</v>
      </c>
      <c r="M14" s="32">
        <f t="shared" si="9"/>
        <v>360000</v>
      </c>
      <c r="N14" s="32">
        <f t="shared" si="9"/>
        <v>240000</v>
      </c>
      <c r="O14" s="32">
        <f t="shared" si="9"/>
        <v>192000</v>
      </c>
      <c r="P14" s="17"/>
      <c r="Q14" s="32">
        <f>2*400*Q7</f>
        <v>216000</v>
      </c>
      <c r="R14" s="32">
        <f t="shared" ref="R14:AB14" si="10">2*400*R7</f>
        <v>240000</v>
      </c>
      <c r="S14" s="32">
        <f t="shared" si="10"/>
        <v>300000</v>
      </c>
      <c r="T14" s="32">
        <f t="shared" si="10"/>
        <v>420000</v>
      </c>
      <c r="U14" s="32">
        <f t="shared" si="10"/>
        <v>587999.99999999988</v>
      </c>
      <c r="V14" s="32">
        <f t="shared" si="10"/>
        <v>823199.99999999977</v>
      </c>
      <c r="W14" s="32">
        <f t="shared" si="10"/>
        <v>864359.99999999988</v>
      </c>
      <c r="X14" s="32">
        <f t="shared" si="10"/>
        <v>907577.99999999988</v>
      </c>
      <c r="Y14" s="32">
        <f t="shared" si="10"/>
        <v>952956.89999999991</v>
      </c>
      <c r="Z14" s="32">
        <f t="shared" si="10"/>
        <v>600000</v>
      </c>
      <c r="AA14" s="32">
        <f t="shared" si="10"/>
        <v>480000</v>
      </c>
      <c r="AB14" s="32">
        <f t="shared" si="10"/>
        <v>480000</v>
      </c>
      <c r="AC14" s="17"/>
    </row>
    <row r="15" spans="1:29" ht="18.75" x14ac:dyDescent="0.3">
      <c r="A15" s="46"/>
      <c r="B15" s="31" t="s">
        <v>24</v>
      </c>
      <c r="C15" s="31" t="s">
        <v>96</v>
      </c>
      <c r="D15" s="56">
        <f>D8*4000</f>
        <v>24000</v>
      </c>
      <c r="E15" s="32">
        <f t="shared" ref="E15:O15" si="11">E8*4000</f>
        <v>96000</v>
      </c>
      <c r="F15" s="56">
        <f t="shared" si="11"/>
        <v>180000</v>
      </c>
      <c r="G15" s="32">
        <f t="shared" si="11"/>
        <v>144000</v>
      </c>
      <c r="H15" s="32">
        <f t="shared" si="11"/>
        <v>172799.99999999997</v>
      </c>
      <c r="I15" s="32">
        <f t="shared" si="11"/>
        <v>207359.99999999997</v>
      </c>
      <c r="J15" s="32">
        <f t="shared" si="11"/>
        <v>248831.99999999997</v>
      </c>
      <c r="K15" s="32">
        <f t="shared" si="11"/>
        <v>298598.39999999997</v>
      </c>
      <c r="L15" s="32">
        <f t="shared" si="11"/>
        <v>358318.0799999999</v>
      </c>
      <c r="M15" s="32">
        <f t="shared" si="11"/>
        <v>429981.69599999982</v>
      </c>
      <c r="N15" s="32">
        <f t="shared" si="11"/>
        <v>515978.03519999981</v>
      </c>
      <c r="O15" s="32">
        <f t="shared" si="11"/>
        <v>619173.64223999972</v>
      </c>
      <c r="P15" s="17"/>
      <c r="Q15" s="32">
        <f>Q8*4000</f>
        <v>540000</v>
      </c>
      <c r="R15" s="32">
        <f t="shared" ref="R15:AB15" si="12">R8*4000</f>
        <v>600000</v>
      </c>
      <c r="S15" s="32">
        <f t="shared" si="12"/>
        <v>750000</v>
      </c>
      <c r="T15" s="32">
        <f t="shared" si="12"/>
        <v>787500</v>
      </c>
      <c r="U15" s="32">
        <f t="shared" si="12"/>
        <v>240000</v>
      </c>
      <c r="V15" s="32">
        <f t="shared" si="12"/>
        <v>252000</v>
      </c>
      <c r="W15" s="32">
        <f t="shared" si="12"/>
        <v>264600</v>
      </c>
      <c r="X15" s="32">
        <f t="shared" si="12"/>
        <v>277830.00000000006</v>
      </c>
      <c r="Y15" s="32">
        <f t="shared" si="12"/>
        <v>291721.50000000006</v>
      </c>
      <c r="Z15" s="32">
        <f t="shared" si="12"/>
        <v>306307.57500000007</v>
      </c>
      <c r="AA15" s="32">
        <f t="shared" si="12"/>
        <v>321622.9537500001</v>
      </c>
      <c r="AB15" s="32">
        <f t="shared" si="12"/>
        <v>337704.1014375001</v>
      </c>
      <c r="AC15" s="17"/>
    </row>
    <row r="16" spans="1:29" ht="18.75" x14ac:dyDescent="0.3">
      <c r="A16" s="46"/>
      <c r="B16" s="31" t="s">
        <v>91</v>
      </c>
      <c r="C16" s="31" t="s">
        <v>97</v>
      </c>
      <c r="D16" s="56">
        <f>5000*D9</f>
        <v>25000</v>
      </c>
      <c r="E16" s="32">
        <f t="shared" ref="E16:N16" si="13">5000*E9</f>
        <v>30000</v>
      </c>
      <c r="F16" s="56">
        <f t="shared" si="13"/>
        <v>36000</v>
      </c>
      <c r="G16" s="32">
        <f t="shared" si="13"/>
        <v>43199.999999999993</v>
      </c>
      <c r="H16" s="32">
        <f t="shared" si="13"/>
        <v>51839.999999999993</v>
      </c>
      <c r="I16" s="32">
        <f t="shared" si="13"/>
        <v>62207.999999999985</v>
      </c>
      <c r="J16" s="32">
        <f t="shared" si="13"/>
        <v>74649.599999999977</v>
      </c>
      <c r="K16" s="32">
        <f t="shared" si="13"/>
        <v>89579.519999999975</v>
      </c>
      <c r="L16" s="32">
        <f t="shared" si="13"/>
        <v>107495.42399999996</v>
      </c>
      <c r="M16" s="32">
        <f t="shared" si="13"/>
        <v>128994.50879999995</v>
      </c>
      <c r="N16" s="32">
        <f t="shared" si="13"/>
        <v>154793.41055999993</v>
      </c>
      <c r="O16" s="32">
        <f>5000*O9</f>
        <v>185752.09267199991</v>
      </c>
      <c r="P16" s="17"/>
      <c r="Q16" s="32">
        <f>5000*Q9</f>
        <v>50000</v>
      </c>
      <c r="R16" s="32">
        <f t="shared" ref="R16:AB16" si="14">5000*R9</f>
        <v>60000</v>
      </c>
      <c r="S16" s="32">
        <f t="shared" si="14"/>
        <v>72000</v>
      </c>
      <c r="T16" s="32">
        <f t="shared" si="14"/>
        <v>86399.999999999985</v>
      </c>
      <c r="U16" s="32">
        <f t="shared" si="14"/>
        <v>103679.99999999999</v>
      </c>
      <c r="V16" s="32">
        <f t="shared" si="14"/>
        <v>124415.99999999997</v>
      </c>
      <c r="W16" s="32">
        <f t="shared" si="14"/>
        <v>149299.19999999995</v>
      </c>
      <c r="X16" s="32">
        <f t="shared" si="14"/>
        <v>179159.03999999995</v>
      </c>
      <c r="Y16" s="32">
        <f t="shared" si="14"/>
        <v>214990.84799999991</v>
      </c>
      <c r="Z16" s="32">
        <f t="shared" si="14"/>
        <v>257989.0175999999</v>
      </c>
      <c r="AA16" s="32">
        <f t="shared" si="14"/>
        <v>270888.46847999986</v>
      </c>
      <c r="AB16" s="32">
        <f t="shared" si="14"/>
        <v>284432.8919039999</v>
      </c>
      <c r="AC16" s="17"/>
    </row>
    <row r="17" spans="1:29" ht="18.75" x14ac:dyDescent="0.3">
      <c r="A17" s="46"/>
      <c r="B17" s="31" t="s">
        <v>92</v>
      </c>
      <c r="C17" s="61" t="s">
        <v>98</v>
      </c>
      <c r="D17" s="56">
        <f>400*D10</f>
        <v>4000</v>
      </c>
      <c r="E17" s="32">
        <f t="shared" ref="E17:O17" si="15">400*E10</f>
        <v>4800</v>
      </c>
      <c r="F17" s="56">
        <f t="shared" si="15"/>
        <v>5759.9999999999991</v>
      </c>
      <c r="G17" s="32">
        <f t="shared" si="15"/>
        <v>6911.9999999999991</v>
      </c>
      <c r="H17" s="32">
        <f t="shared" si="15"/>
        <v>8294.4</v>
      </c>
      <c r="I17" s="32">
        <f t="shared" si="15"/>
        <v>9953.2799999999988</v>
      </c>
      <c r="J17" s="32">
        <f t="shared" si="15"/>
        <v>11943.935999999996</v>
      </c>
      <c r="K17" s="32">
        <f t="shared" si="15"/>
        <v>14332.723199999995</v>
      </c>
      <c r="L17" s="32">
        <f t="shared" si="15"/>
        <v>17199.267839999993</v>
      </c>
      <c r="M17" s="32">
        <f t="shared" si="15"/>
        <v>20639.121407999992</v>
      </c>
      <c r="N17" s="32">
        <f t="shared" si="15"/>
        <v>24766.945689599987</v>
      </c>
      <c r="O17" s="32">
        <f t="shared" si="15"/>
        <v>29720.334827519986</v>
      </c>
      <c r="P17" s="17"/>
      <c r="Q17" s="62">
        <f>400*Q10</f>
        <v>14000</v>
      </c>
      <c r="R17" s="62">
        <f t="shared" ref="R17:AB17" si="16">400*R10</f>
        <v>21000</v>
      </c>
      <c r="S17" s="62">
        <f t="shared" si="16"/>
        <v>31500</v>
      </c>
      <c r="T17" s="62">
        <f t="shared" si="16"/>
        <v>47250</v>
      </c>
      <c r="U17" s="62">
        <f t="shared" si="16"/>
        <v>70875</v>
      </c>
      <c r="V17" s="62">
        <f t="shared" si="16"/>
        <v>106312.5</v>
      </c>
      <c r="W17" s="62">
        <f t="shared" si="16"/>
        <v>159468.75</v>
      </c>
      <c r="X17" s="62">
        <f t="shared" si="16"/>
        <v>175415.62500000003</v>
      </c>
      <c r="Y17" s="62">
        <f t="shared" si="16"/>
        <v>192957.18750000003</v>
      </c>
      <c r="Z17" s="62">
        <f t="shared" si="16"/>
        <v>212252.90625000006</v>
      </c>
      <c r="AA17" s="62">
        <f t="shared" si="16"/>
        <v>233478.19687500008</v>
      </c>
      <c r="AB17" s="62">
        <f t="shared" si="16"/>
        <v>256826.01656250012</v>
      </c>
      <c r="AC17" s="17"/>
    </row>
    <row r="18" spans="1:29" ht="18.75" x14ac:dyDescent="0.3">
      <c r="A18" s="46"/>
      <c r="B18" s="10" t="s">
        <v>19</v>
      </c>
      <c r="C18" s="11"/>
      <c r="D18" s="57">
        <f t="shared" ref="D18:O18" si="17">SUM(D19:D24)</f>
        <v>61980.7</v>
      </c>
      <c r="E18" s="33">
        <f t="shared" si="17"/>
        <v>183080.88</v>
      </c>
      <c r="F18" s="57">
        <f t="shared" si="17"/>
        <v>230402.7</v>
      </c>
      <c r="G18" s="33">
        <f t="shared" si="17"/>
        <v>308329.19999999995</v>
      </c>
      <c r="H18" s="33">
        <f t="shared" si="17"/>
        <v>344855.39999999997</v>
      </c>
      <c r="I18" s="33">
        <f t="shared" si="17"/>
        <v>483035.89499999996</v>
      </c>
      <c r="J18" s="33">
        <f t="shared" si="17"/>
        <v>512767.91774999996</v>
      </c>
      <c r="K18" s="33">
        <f t="shared" si="17"/>
        <v>566948.10723750002</v>
      </c>
      <c r="L18" s="33">
        <f t="shared" si="17"/>
        <v>460772.14791937504</v>
      </c>
      <c r="M18" s="33">
        <f t="shared" si="17"/>
        <v>456142.33769934368</v>
      </c>
      <c r="N18" s="33">
        <f t="shared" si="17"/>
        <v>416722.10624511086</v>
      </c>
      <c r="O18" s="33">
        <f t="shared" si="17"/>
        <v>451053.52155032643</v>
      </c>
      <c r="P18" s="16">
        <f>SUM(D18:O18)</f>
        <v>4476090.9134016559</v>
      </c>
      <c r="Q18" s="33">
        <f t="shared" ref="Q18:AB18" si="18">SUM(Q19:Q24)</f>
        <v>359284.36148697883</v>
      </c>
      <c r="R18" s="33">
        <f t="shared" si="18"/>
        <v>502929.37956132775</v>
      </c>
      <c r="S18" s="33">
        <f t="shared" si="18"/>
        <v>607973.94853939407</v>
      </c>
      <c r="T18" s="33">
        <f t="shared" si="18"/>
        <v>770817.39596636384</v>
      </c>
      <c r="U18" s="33">
        <f t="shared" si="18"/>
        <v>1089530.4407646819</v>
      </c>
      <c r="V18" s="33">
        <f t="shared" si="18"/>
        <v>1273265.6003029158</v>
      </c>
      <c r="W18" s="33">
        <f t="shared" si="18"/>
        <v>1441149.6565680616</v>
      </c>
      <c r="X18" s="33">
        <f t="shared" si="18"/>
        <v>1621440.1797714643</v>
      </c>
      <c r="Y18" s="33">
        <f t="shared" si="18"/>
        <v>1827048.4788225379</v>
      </c>
      <c r="Z18" s="33">
        <f t="shared" si="18"/>
        <v>1509916.0413079145</v>
      </c>
      <c r="AA18" s="33">
        <f t="shared" si="18"/>
        <v>1139188.0179773485</v>
      </c>
      <c r="AB18" s="33">
        <f t="shared" si="18"/>
        <v>1005996.6963371534</v>
      </c>
      <c r="AC18" s="16">
        <f>SUM(Q18:AB18)</f>
        <v>13148540.197406145</v>
      </c>
    </row>
    <row r="19" spans="1:29" ht="18.75" x14ac:dyDescent="0.3">
      <c r="A19" s="46"/>
      <c r="B19" s="31" t="s">
        <v>73</v>
      </c>
      <c r="C19" s="31" t="s">
        <v>21</v>
      </c>
      <c r="D19" s="56">
        <f>D13*0.15</f>
        <v>44030.7</v>
      </c>
      <c r="E19" s="32">
        <f t="shared" ref="E19:O19" si="19">E13*0.15</f>
        <v>81380.87999999999</v>
      </c>
      <c r="F19" s="56">
        <f t="shared" si="19"/>
        <v>104762.7</v>
      </c>
      <c r="G19" s="32">
        <f t="shared" si="19"/>
        <v>177811.19999999998</v>
      </c>
      <c r="H19" s="32">
        <f t="shared" si="19"/>
        <v>201228.3</v>
      </c>
      <c r="I19" s="32">
        <f t="shared" si="19"/>
        <v>309581.99999999994</v>
      </c>
      <c r="J19" s="32">
        <f t="shared" si="19"/>
        <v>322282.8</v>
      </c>
      <c r="K19" s="32">
        <f t="shared" si="19"/>
        <v>367132.5</v>
      </c>
      <c r="L19" s="32">
        <f t="shared" si="19"/>
        <v>230174.28</v>
      </c>
      <c r="M19" s="32">
        <f t="shared" si="19"/>
        <v>206488.8</v>
      </c>
      <c r="N19" s="32">
        <f t="shared" si="19"/>
        <v>168834.96</v>
      </c>
      <c r="O19" s="32">
        <f t="shared" si="19"/>
        <v>186750.9</v>
      </c>
      <c r="P19" s="17"/>
      <c r="Q19" s="32">
        <f>Q13*0.15</f>
        <v>121464</v>
      </c>
      <c r="R19" s="32">
        <f t="shared" ref="R19:AB19" si="20">R13*0.15</f>
        <v>242928</v>
      </c>
      <c r="S19" s="32">
        <f t="shared" si="20"/>
        <v>303659.99999999994</v>
      </c>
      <c r="T19" s="32">
        <f t="shared" si="20"/>
        <v>425124</v>
      </c>
      <c r="U19" s="32">
        <f t="shared" si="20"/>
        <v>777923.99999999988</v>
      </c>
      <c r="V19" s="32">
        <f t="shared" si="20"/>
        <v>894612.59999999974</v>
      </c>
      <c r="W19" s="32">
        <f t="shared" si="20"/>
        <v>1028804.4899999998</v>
      </c>
      <c r="X19" s="32">
        <f t="shared" si="20"/>
        <v>1183125.1634999993</v>
      </c>
      <c r="Y19" s="32">
        <f t="shared" si="20"/>
        <v>1360593.9380249993</v>
      </c>
      <c r="Z19" s="32">
        <f t="shared" si="20"/>
        <v>1093010.4635467494</v>
      </c>
      <c r="AA19" s="32">
        <f t="shared" si="20"/>
        <v>728784</v>
      </c>
      <c r="AB19" s="32">
        <f t="shared" si="20"/>
        <v>576953.99999999988</v>
      </c>
      <c r="AC19" s="17"/>
    </row>
    <row r="20" spans="1:29" ht="18.75" x14ac:dyDescent="0.3">
      <c r="A20" s="46"/>
      <c r="B20" s="31" t="s">
        <v>74</v>
      </c>
      <c r="C20" s="31" t="s">
        <v>23</v>
      </c>
      <c r="D20" s="56">
        <f>D14*0.2</f>
        <v>9600</v>
      </c>
      <c r="E20" s="32">
        <f t="shared" ref="E20:O20" si="21">E14*0.2</f>
        <v>21600</v>
      </c>
      <c r="F20" s="56">
        <f t="shared" si="21"/>
        <v>28800</v>
      </c>
      <c r="G20" s="32">
        <f t="shared" si="21"/>
        <v>34560</v>
      </c>
      <c r="H20" s="32">
        <f t="shared" si="21"/>
        <v>38400</v>
      </c>
      <c r="I20" s="32">
        <f t="shared" si="21"/>
        <v>57600</v>
      </c>
      <c r="J20" s="32">
        <f t="shared" si="21"/>
        <v>62400</v>
      </c>
      <c r="K20" s="32">
        <f t="shared" si="21"/>
        <v>57600</v>
      </c>
      <c r="L20" s="32">
        <f t="shared" si="21"/>
        <v>72000</v>
      </c>
      <c r="M20" s="32">
        <f t="shared" si="21"/>
        <v>72000</v>
      </c>
      <c r="N20" s="32">
        <f t="shared" si="21"/>
        <v>48000</v>
      </c>
      <c r="O20" s="32">
        <f t="shared" si="21"/>
        <v>38400</v>
      </c>
      <c r="P20" s="17"/>
      <c r="Q20" s="32">
        <f>Q14*0.2</f>
        <v>43200</v>
      </c>
      <c r="R20" s="32">
        <f t="shared" ref="R20:AB20" si="22">R14*0.2</f>
        <v>48000</v>
      </c>
      <c r="S20" s="32">
        <f t="shared" si="22"/>
        <v>60000</v>
      </c>
      <c r="T20" s="32">
        <f t="shared" si="22"/>
        <v>84000</v>
      </c>
      <c r="U20" s="32">
        <f t="shared" si="22"/>
        <v>117599.99999999999</v>
      </c>
      <c r="V20" s="32">
        <f t="shared" si="22"/>
        <v>164639.99999999997</v>
      </c>
      <c r="W20" s="32">
        <f t="shared" si="22"/>
        <v>172872</v>
      </c>
      <c r="X20" s="32">
        <f t="shared" si="22"/>
        <v>181515.59999999998</v>
      </c>
      <c r="Y20" s="32">
        <f t="shared" si="22"/>
        <v>190591.38</v>
      </c>
      <c r="Z20" s="32">
        <f t="shared" si="22"/>
        <v>120000</v>
      </c>
      <c r="AA20" s="32">
        <f t="shared" si="22"/>
        <v>96000</v>
      </c>
      <c r="AB20" s="32">
        <f t="shared" si="22"/>
        <v>96000</v>
      </c>
      <c r="AC20" s="17"/>
    </row>
    <row r="21" spans="1:29" ht="18.75" x14ac:dyDescent="0.3">
      <c r="A21" s="46"/>
      <c r="B21" s="31" t="s">
        <v>75</v>
      </c>
      <c r="C21" s="31" t="s">
        <v>65</v>
      </c>
      <c r="D21" s="56">
        <f t="shared" ref="D21:O21" si="23">D15*0.15</f>
        <v>3600</v>
      </c>
      <c r="E21" s="32">
        <f t="shared" si="23"/>
        <v>14400</v>
      </c>
      <c r="F21" s="56">
        <f t="shared" si="23"/>
        <v>27000</v>
      </c>
      <c r="G21" s="32">
        <f t="shared" si="23"/>
        <v>21600</v>
      </c>
      <c r="H21" s="32">
        <f t="shared" si="23"/>
        <v>25919.999999999996</v>
      </c>
      <c r="I21" s="32">
        <f t="shared" si="23"/>
        <v>31103.999999999993</v>
      </c>
      <c r="J21" s="32">
        <f t="shared" si="23"/>
        <v>37324.799999999996</v>
      </c>
      <c r="K21" s="32">
        <f t="shared" si="23"/>
        <v>44789.759999999995</v>
      </c>
      <c r="L21" s="32">
        <f t="shared" si="23"/>
        <v>53747.711999999985</v>
      </c>
      <c r="M21" s="32">
        <f t="shared" si="23"/>
        <v>64497.254399999969</v>
      </c>
      <c r="N21" s="32">
        <f t="shared" si="23"/>
        <v>77396.705279999966</v>
      </c>
      <c r="O21" s="32">
        <f t="shared" si="23"/>
        <v>92876.046335999956</v>
      </c>
      <c r="P21" s="17"/>
      <c r="Q21" s="32">
        <f t="shared" ref="Q21:AB21" si="24">Q15*0.15</f>
        <v>81000</v>
      </c>
      <c r="R21" s="32">
        <f t="shared" si="24"/>
        <v>90000</v>
      </c>
      <c r="S21" s="32">
        <f t="shared" si="24"/>
        <v>112500</v>
      </c>
      <c r="T21" s="32">
        <f t="shared" si="24"/>
        <v>118125</v>
      </c>
      <c r="U21" s="32">
        <f t="shared" si="24"/>
        <v>36000</v>
      </c>
      <c r="V21" s="32">
        <f t="shared" si="24"/>
        <v>37800</v>
      </c>
      <c r="W21" s="32">
        <f t="shared" si="24"/>
        <v>39690</v>
      </c>
      <c r="X21" s="32">
        <f t="shared" si="24"/>
        <v>41674.500000000007</v>
      </c>
      <c r="Y21" s="32">
        <f t="shared" si="24"/>
        <v>43758.225000000006</v>
      </c>
      <c r="Z21" s="32">
        <f t="shared" si="24"/>
        <v>45946.13625000001</v>
      </c>
      <c r="AA21" s="32">
        <f t="shared" si="24"/>
        <v>48243.443062500017</v>
      </c>
      <c r="AB21" s="32">
        <f t="shared" si="24"/>
        <v>50655.61521562501</v>
      </c>
      <c r="AC21" s="17"/>
    </row>
    <row r="22" spans="1:29" ht="18.75" x14ac:dyDescent="0.3">
      <c r="A22" s="46"/>
      <c r="B22" s="60" t="s">
        <v>84</v>
      </c>
      <c r="C22" s="61" t="s">
        <v>93</v>
      </c>
      <c r="D22" s="56">
        <f>D16*0.15</f>
        <v>3750</v>
      </c>
      <c r="E22" s="32">
        <f t="shared" ref="E22:O22" si="25">E16*0.15</f>
        <v>4500</v>
      </c>
      <c r="F22" s="56">
        <f t="shared" si="25"/>
        <v>5400</v>
      </c>
      <c r="G22" s="32">
        <f t="shared" si="25"/>
        <v>6479.9999999999991</v>
      </c>
      <c r="H22" s="32">
        <f t="shared" si="25"/>
        <v>7775.9999999999982</v>
      </c>
      <c r="I22" s="32">
        <f t="shared" si="25"/>
        <v>9331.1999999999971</v>
      </c>
      <c r="J22" s="32">
        <f t="shared" si="25"/>
        <v>11197.439999999997</v>
      </c>
      <c r="K22" s="32">
        <f t="shared" si="25"/>
        <v>13436.927999999996</v>
      </c>
      <c r="L22" s="32">
        <f t="shared" si="25"/>
        <v>16124.313599999992</v>
      </c>
      <c r="M22" s="32">
        <f t="shared" si="25"/>
        <v>19349.176319999991</v>
      </c>
      <c r="N22" s="32">
        <f t="shared" si="25"/>
        <v>23219.011583999989</v>
      </c>
      <c r="O22" s="32">
        <f t="shared" si="25"/>
        <v>27862.813900799985</v>
      </c>
      <c r="P22" s="17"/>
      <c r="Q22" s="32">
        <f>Q16*0.15</f>
        <v>7500</v>
      </c>
      <c r="R22" s="32">
        <f t="shared" ref="R22:AB22" si="26">R16*0.15</f>
        <v>9000</v>
      </c>
      <c r="S22" s="32">
        <f t="shared" si="26"/>
        <v>10800</v>
      </c>
      <c r="T22" s="32">
        <f t="shared" si="26"/>
        <v>12959.999999999998</v>
      </c>
      <c r="U22" s="32">
        <f t="shared" si="26"/>
        <v>15551.999999999996</v>
      </c>
      <c r="V22" s="32">
        <f t="shared" si="26"/>
        <v>18662.399999999994</v>
      </c>
      <c r="W22" s="32">
        <f t="shared" si="26"/>
        <v>22394.879999999994</v>
      </c>
      <c r="X22" s="32">
        <f t="shared" si="26"/>
        <v>26873.855999999992</v>
      </c>
      <c r="Y22" s="32">
        <f t="shared" si="26"/>
        <v>32248.627199999984</v>
      </c>
      <c r="Z22" s="32">
        <f t="shared" si="26"/>
        <v>38698.352639999983</v>
      </c>
      <c r="AA22" s="32">
        <f t="shared" si="26"/>
        <v>40633.27027199998</v>
      </c>
      <c r="AB22" s="32">
        <f t="shared" si="26"/>
        <v>42664.933785599984</v>
      </c>
      <c r="AC22" s="17"/>
    </row>
    <row r="23" spans="1:29" ht="18.75" x14ac:dyDescent="0.3">
      <c r="A23" s="46"/>
      <c r="B23" s="60" t="s">
        <v>99</v>
      </c>
      <c r="C23" s="31" t="s">
        <v>94</v>
      </c>
      <c r="D23" s="56">
        <f>D17*0.25</f>
        <v>1000</v>
      </c>
      <c r="E23" s="32">
        <f t="shared" ref="E23:O23" si="27">E17*0.25</f>
        <v>1200</v>
      </c>
      <c r="F23" s="56">
        <f t="shared" si="27"/>
        <v>1439.9999999999998</v>
      </c>
      <c r="G23" s="32">
        <f t="shared" si="27"/>
        <v>1727.9999999999998</v>
      </c>
      <c r="H23" s="32">
        <f t="shared" si="27"/>
        <v>2073.6</v>
      </c>
      <c r="I23" s="32">
        <f t="shared" si="27"/>
        <v>2488.3199999999997</v>
      </c>
      <c r="J23" s="32">
        <f t="shared" si="27"/>
        <v>2985.983999999999</v>
      </c>
      <c r="K23" s="32">
        <f t="shared" si="27"/>
        <v>3583.1807999999987</v>
      </c>
      <c r="L23" s="32">
        <f t="shared" si="27"/>
        <v>4299.8169599999983</v>
      </c>
      <c r="M23" s="32">
        <f t="shared" si="27"/>
        <v>5159.7803519999979</v>
      </c>
      <c r="N23" s="32">
        <f t="shared" si="27"/>
        <v>6191.7364223999966</v>
      </c>
      <c r="O23" s="32">
        <f t="shared" si="27"/>
        <v>7430.0837068799965</v>
      </c>
      <c r="P23" s="17"/>
      <c r="Q23" s="32">
        <f>Q17*0.25</f>
        <v>3500</v>
      </c>
      <c r="R23" s="32">
        <f t="shared" ref="R23:AB23" si="28">R17*0.25</f>
        <v>5250</v>
      </c>
      <c r="S23" s="32">
        <f t="shared" si="28"/>
        <v>7875</v>
      </c>
      <c r="T23" s="32">
        <f t="shared" si="28"/>
        <v>11812.5</v>
      </c>
      <c r="U23" s="32">
        <f t="shared" si="28"/>
        <v>17718.75</v>
      </c>
      <c r="V23" s="32">
        <f t="shared" si="28"/>
        <v>26578.125</v>
      </c>
      <c r="W23" s="32">
        <f t="shared" si="28"/>
        <v>39867.1875</v>
      </c>
      <c r="X23" s="32">
        <f t="shared" si="28"/>
        <v>43853.906250000007</v>
      </c>
      <c r="Y23" s="32">
        <f t="shared" si="28"/>
        <v>48239.296875000007</v>
      </c>
      <c r="Z23" s="32">
        <f t="shared" si="28"/>
        <v>53063.226562500015</v>
      </c>
      <c r="AA23" s="32">
        <f t="shared" si="28"/>
        <v>58369.54921875002</v>
      </c>
      <c r="AB23" s="32">
        <f t="shared" si="28"/>
        <v>64206.504140625031</v>
      </c>
      <c r="AC23" s="17"/>
    </row>
    <row r="24" spans="1:29" ht="18.75" x14ac:dyDescent="0.3">
      <c r="A24" s="46"/>
      <c r="B24" s="60" t="s">
        <v>100</v>
      </c>
      <c r="C24" s="31" t="s">
        <v>85</v>
      </c>
      <c r="D24" s="56">
        <v>0</v>
      </c>
      <c r="E24" s="32">
        <f>2000000*0.03</f>
        <v>60000</v>
      </c>
      <c r="F24" s="32">
        <f>E24*1.05</f>
        <v>63000</v>
      </c>
      <c r="G24" s="32">
        <f t="shared" ref="G24:O24" si="29">F24*1.05</f>
        <v>66150</v>
      </c>
      <c r="H24" s="32">
        <f t="shared" si="29"/>
        <v>69457.5</v>
      </c>
      <c r="I24" s="32">
        <f t="shared" si="29"/>
        <v>72930.375</v>
      </c>
      <c r="J24" s="32">
        <f t="shared" si="29"/>
        <v>76576.893750000003</v>
      </c>
      <c r="K24" s="32">
        <f t="shared" si="29"/>
        <v>80405.738437500011</v>
      </c>
      <c r="L24" s="32">
        <f t="shared" si="29"/>
        <v>84426.025359375009</v>
      </c>
      <c r="M24" s="32">
        <f t="shared" si="29"/>
        <v>88647.326627343762</v>
      </c>
      <c r="N24" s="32">
        <f t="shared" si="29"/>
        <v>93079.692958710948</v>
      </c>
      <c r="O24" s="32">
        <f t="shared" si="29"/>
        <v>97733.677606646495</v>
      </c>
      <c r="P24" s="17"/>
      <c r="Q24" s="32">
        <f>O24*1.05</f>
        <v>102620.36148697883</v>
      </c>
      <c r="R24" s="32">
        <f>Q24*1.05</f>
        <v>107751.37956132778</v>
      </c>
      <c r="S24" s="32">
        <f t="shared" ref="S24:AB24" si="30">R24*1.05</f>
        <v>113138.94853939417</v>
      </c>
      <c r="T24" s="32">
        <f t="shared" si="30"/>
        <v>118795.89596636388</v>
      </c>
      <c r="U24" s="32">
        <f t="shared" si="30"/>
        <v>124735.69076468208</v>
      </c>
      <c r="V24" s="32">
        <f t="shared" si="30"/>
        <v>130972.47530291618</v>
      </c>
      <c r="W24" s="32">
        <f t="shared" si="30"/>
        <v>137521.099068062</v>
      </c>
      <c r="X24" s="32">
        <f t="shared" si="30"/>
        <v>144397.1540214651</v>
      </c>
      <c r="Y24" s="32">
        <f t="shared" si="30"/>
        <v>151617.01172253836</v>
      </c>
      <c r="Z24" s="32">
        <f t="shared" si="30"/>
        <v>159197.8623086653</v>
      </c>
      <c r="AA24" s="32">
        <f t="shared" si="30"/>
        <v>167157.75542409858</v>
      </c>
      <c r="AB24" s="32">
        <f t="shared" si="30"/>
        <v>175515.64319530351</v>
      </c>
      <c r="AC24" s="17"/>
    </row>
    <row r="25" spans="1:29" ht="18.75" x14ac:dyDescent="0.3">
      <c r="A25" s="46">
        <v>2</v>
      </c>
      <c r="B25" s="10" t="s">
        <v>25</v>
      </c>
      <c r="C25" s="11"/>
      <c r="D25" s="57">
        <f>SUM(D29:D30,D27)</f>
        <v>40966.14</v>
      </c>
      <c r="E25" s="33">
        <f t="shared" ref="E25:AB25" si="31">SUM(E29:E30,E27)</f>
        <v>52396.175999999999</v>
      </c>
      <c r="F25" s="33">
        <f t="shared" si="31"/>
        <v>60672.539999999994</v>
      </c>
      <c r="G25" s="33">
        <f t="shared" si="31"/>
        <v>75066.239999999991</v>
      </c>
      <c r="H25" s="33">
        <f t="shared" si="31"/>
        <v>81189.66</v>
      </c>
      <c r="I25" s="33">
        <f t="shared" si="31"/>
        <v>106777.2</v>
      </c>
      <c r="J25" s="33">
        <f t="shared" si="31"/>
        <v>111281.52</v>
      </c>
      <c r="K25" s="33">
        <f t="shared" si="31"/>
        <v>121024.45199999999</v>
      </c>
      <c r="L25" s="33">
        <f t="shared" si="31"/>
        <v>97584.398399999991</v>
      </c>
      <c r="M25" s="33">
        <f t="shared" si="31"/>
        <v>94997.210879999999</v>
      </c>
      <c r="N25" s="33">
        <f t="shared" si="31"/>
        <v>86446.333055999989</v>
      </c>
      <c r="O25" s="33">
        <f t="shared" si="31"/>
        <v>91685.389267199993</v>
      </c>
      <c r="P25" s="16">
        <f>SUM(D25:O25)</f>
        <v>1020087.2596031998</v>
      </c>
      <c r="Q25" s="33">
        <f t="shared" si="31"/>
        <v>98472.799999999988</v>
      </c>
      <c r="R25" s="33">
        <f t="shared" si="31"/>
        <v>125585.59999999999</v>
      </c>
      <c r="S25" s="33">
        <f t="shared" si="31"/>
        <v>144392</v>
      </c>
      <c r="T25" s="33">
        <f t="shared" si="31"/>
        <v>173841.8</v>
      </c>
      <c r="U25" s="33">
        <f t="shared" si="31"/>
        <v>233535.19999999995</v>
      </c>
      <c r="V25" s="33">
        <f t="shared" si="31"/>
        <v>264910.99999999994</v>
      </c>
      <c r="W25" s="33">
        <f t="shared" si="31"/>
        <v>294108.674</v>
      </c>
      <c r="X25" s="33">
        <f t="shared" si="31"/>
        <v>327562.04389999987</v>
      </c>
      <c r="Y25" s="33">
        <f t="shared" si="31"/>
        <v>365908.86504499987</v>
      </c>
      <c r="Z25" s="33">
        <f t="shared" si="31"/>
        <v>303530.99048734992</v>
      </c>
      <c r="AA25" s="33">
        <f t="shared" si="31"/>
        <v>227932.14266690001</v>
      </c>
      <c r="AB25" s="33">
        <f t="shared" si="31"/>
        <v>198454.90980024499</v>
      </c>
      <c r="AC25" s="16">
        <f>SUM(Q25:AB25)</f>
        <v>2758236.025899495</v>
      </c>
    </row>
    <row r="26" spans="1:29" ht="18.75" x14ac:dyDescent="0.3">
      <c r="A26" s="46"/>
      <c r="B26" s="34"/>
      <c r="C26" s="4" t="s">
        <v>26</v>
      </c>
      <c r="D26" s="56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17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17"/>
    </row>
    <row r="27" spans="1:29" ht="18.75" x14ac:dyDescent="0.3">
      <c r="A27" s="46"/>
      <c r="B27" s="35" t="s">
        <v>27</v>
      </c>
      <c r="C27" s="31" t="s">
        <v>66</v>
      </c>
      <c r="D27" s="56">
        <v>30000</v>
      </c>
      <c r="E27" s="32">
        <v>30000</v>
      </c>
      <c r="F27" s="32">
        <v>30000</v>
      </c>
      <c r="G27" s="32">
        <v>30000</v>
      </c>
      <c r="H27" s="32">
        <v>30000</v>
      </c>
      <c r="I27" s="32">
        <v>30000</v>
      </c>
      <c r="J27" s="32">
        <v>30000</v>
      </c>
      <c r="K27" s="32">
        <v>30000</v>
      </c>
      <c r="L27" s="32">
        <v>30000</v>
      </c>
      <c r="M27" s="32">
        <v>30000</v>
      </c>
      <c r="N27" s="32">
        <v>30000</v>
      </c>
      <c r="O27" s="32">
        <v>30000</v>
      </c>
      <c r="P27" s="17"/>
      <c r="Q27" s="32">
        <v>50000</v>
      </c>
      <c r="R27" s="32">
        <v>50000</v>
      </c>
      <c r="S27" s="32">
        <v>50000</v>
      </c>
      <c r="T27" s="32">
        <v>50000</v>
      </c>
      <c r="U27" s="32">
        <v>50000</v>
      </c>
      <c r="V27" s="32">
        <v>50000</v>
      </c>
      <c r="W27" s="32">
        <v>50000</v>
      </c>
      <c r="X27" s="32">
        <v>50000</v>
      </c>
      <c r="Y27" s="32">
        <v>50000</v>
      </c>
      <c r="Z27" s="32">
        <v>50000</v>
      </c>
      <c r="AA27" s="32">
        <v>50000</v>
      </c>
      <c r="AB27" s="32">
        <v>50000</v>
      </c>
      <c r="AC27" s="17"/>
    </row>
    <row r="28" spans="1:29" ht="18.75" x14ac:dyDescent="0.3">
      <c r="A28" s="46"/>
      <c r="B28" s="31"/>
      <c r="C28" s="31" t="s">
        <v>67</v>
      </c>
      <c r="D28" s="56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7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17"/>
    </row>
    <row r="29" spans="1:29" ht="18.75" x14ac:dyDescent="0.3">
      <c r="A29" s="46"/>
      <c r="B29" s="35" t="s">
        <v>28</v>
      </c>
      <c r="C29" s="31" t="s">
        <v>29</v>
      </c>
      <c r="D29" s="56">
        <f>D12*0.03</f>
        <v>10966.14</v>
      </c>
      <c r="E29" s="32">
        <f t="shared" ref="E29:O29" si="32">E12*0.03</f>
        <v>22396.175999999999</v>
      </c>
      <c r="F29" s="32">
        <f t="shared" si="32"/>
        <v>30672.539999999997</v>
      </c>
      <c r="G29" s="32">
        <f t="shared" si="32"/>
        <v>45066.239999999998</v>
      </c>
      <c r="H29" s="32">
        <f t="shared" si="32"/>
        <v>51189.659999999996</v>
      </c>
      <c r="I29" s="32">
        <f t="shared" si="32"/>
        <v>76777.2</v>
      </c>
      <c r="J29" s="32">
        <f t="shared" si="32"/>
        <v>81281.52</v>
      </c>
      <c r="K29" s="32">
        <f t="shared" si="32"/>
        <v>91024.45199999999</v>
      </c>
      <c r="L29" s="32">
        <f t="shared" si="32"/>
        <v>67584.398399999991</v>
      </c>
      <c r="M29" s="32">
        <f t="shared" si="32"/>
        <v>64997.210879999999</v>
      </c>
      <c r="N29" s="32">
        <f t="shared" si="32"/>
        <v>56446.333055999989</v>
      </c>
      <c r="O29" s="32">
        <f t="shared" si="32"/>
        <v>61685.389267199993</v>
      </c>
      <c r="P29" s="17"/>
      <c r="Q29" s="32">
        <f>Q12*0.03</f>
        <v>48472.799999999996</v>
      </c>
      <c r="R29" s="32">
        <f t="shared" ref="R29:AB29" si="33">R12*0.03</f>
        <v>75585.599999999991</v>
      </c>
      <c r="S29" s="32">
        <f t="shared" si="33"/>
        <v>94392</v>
      </c>
      <c r="T29" s="32">
        <f t="shared" si="33"/>
        <v>123841.79999999999</v>
      </c>
      <c r="U29" s="32">
        <f t="shared" si="33"/>
        <v>183535.19999999995</v>
      </c>
      <c r="V29" s="32">
        <f t="shared" si="33"/>
        <v>214910.99999999994</v>
      </c>
      <c r="W29" s="32">
        <f t="shared" si="33"/>
        <v>244108.67399999997</v>
      </c>
      <c r="X29" s="32">
        <f t="shared" si="33"/>
        <v>277562.04389999987</v>
      </c>
      <c r="Y29" s="32">
        <f t="shared" si="33"/>
        <v>315908.86504499987</v>
      </c>
      <c r="Z29" s="32">
        <f t="shared" si="33"/>
        <v>253530.99048734989</v>
      </c>
      <c r="AA29" s="32">
        <f t="shared" si="33"/>
        <v>177932.14266690001</v>
      </c>
      <c r="AB29" s="32">
        <f t="shared" si="33"/>
        <v>148454.90980024499</v>
      </c>
      <c r="AC29" s="17"/>
    </row>
    <row r="30" spans="1:29" ht="18.75" x14ac:dyDescent="0.3">
      <c r="A30" s="46"/>
      <c r="B30" s="34" t="s">
        <v>30</v>
      </c>
      <c r="C30" s="31" t="s">
        <v>31</v>
      </c>
      <c r="D30" s="56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17"/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17"/>
    </row>
    <row r="31" spans="1:29" ht="18.75" x14ac:dyDescent="0.3">
      <c r="A31" s="46">
        <v>3</v>
      </c>
      <c r="B31" s="10" t="s">
        <v>32</v>
      </c>
      <c r="C31" s="11"/>
      <c r="D31" s="57">
        <f>SUM(D33:D35,D37,D39:D42)</f>
        <v>84240</v>
      </c>
      <c r="E31" s="33">
        <f t="shared" ref="E31:O31" si="34">SUM(E33:E35,E37,E39:E42)</f>
        <v>84240</v>
      </c>
      <c r="F31" s="33">
        <f t="shared" si="34"/>
        <v>84240</v>
      </c>
      <c r="G31" s="33">
        <f t="shared" si="34"/>
        <v>84240</v>
      </c>
      <c r="H31" s="33">
        <f t="shared" si="34"/>
        <v>84240</v>
      </c>
      <c r="I31" s="33">
        <f t="shared" si="34"/>
        <v>84240</v>
      </c>
      <c r="J31" s="33">
        <f t="shared" si="34"/>
        <v>84240</v>
      </c>
      <c r="K31" s="33">
        <f t="shared" si="34"/>
        <v>84240</v>
      </c>
      <c r="L31" s="33">
        <f t="shared" si="34"/>
        <v>84240</v>
      </c>
      <c r="M31" s="33">
        <f t="shared" si="34"/>
        <v>84240</v>
      </c>
      <c r="N31" s="33">
        <f t="shared" si="34"/>
        <v>84240</v>
      </c>
      <c r="O31" s="33">
        <f t="shared" si="34"/>
        <v>84240</v>
      </c>
      <c r="P31" s="16">
        <f>SUM(D31:O31)</f>
        <v>1010880</v>
      </c>
      <c r="Q31" s="33">
        <f>SUM(Q33:Q35,Q37,Q39:Q42)</f>
        <v>56240</v>
      </c>
      <c r="R31" s="33">
        <f t="shared" ref="R31:AB31" si="35">SUM(R33:R35,R37,R39:R42)</f>
        <v>56240</v>
      </c>
      <c r="S31" s="33">
        <f t="shared" si="35"/>
        <v>56240</v>
      </c>
      <c r="T31" s="33">
        <f t="shared" si="35"/>
        <v>81240</v>
      </c>
      <c r="U31" s="33">
        <f t="shared" si="35"/>
        <v>81240</v>
      </c>
      <c r="V31" s="33">
        <f t="shared" si="35"/>
        <v>81240</v>
      </c>
      <c r="W31" s="33">
        <f t="shared" si="35"/>
        <v>81240</v>
      </c>
      <c r="X31" s="33">
        <f t="shared" si="35"/>
        <v>81240</v>
      </c>
      <c r="Y31" s="33">
        <f t="shared" si="35"/>
        <v>81240</v>
      </c>
      <c r="Z31" s="33">
        <f t="shared" si="35"/>
        <v>81240</v>
      </c>
      <c r="AA31" s="33">
        <f t="shared" si="35"/>
        <v>81240</v>
      </c>
      <c r="AB31" s="33">
        <f t="shared" si="35"/>
        <v>81240</v>
      </c>
      <c r="AC31" s="16">
        <f>SUM(Q31:AB31)</f>
        <v>899880</v>
      </c>
    </row>
    <row r="32" spans="1:29" ht="18.75" x14ac:dyDescent="0.3">
      <c r="A32" s="46"/>
      <c r="B32" s="34" t="s">
        <v>68</v>
      </c>
      <c r="C32" s="4"/>
      <c r="D32" s="56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7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17"/>
    </row>
    <row r="33" spans="1:29" ht="18.75" x14ac:dyDescent="0.3">
      <c r="A33" s="46"/>
      <c r="B33" s="31" t="s">
        <v>33</v>
      </c>
      <c r="C33" s="48" t="s">
        <v>69</v>
      </c>
      <c r="D33" s="56">
        <v>50000</v>
      </c>
      <c r="E33" s="32">
        <v>50000</v>
      </c>
      <c r="F33" s="32">
        <v>50000</v>
      </c>
      <c r="G33" s="32">
        <v>50000</v>
      </c>
      <c r="H33" s="32">
        <v>50000</v>
      </c>
      <c r="I33" s="32">
        <v>50000</v>
      </c>
      <c r="J33" s="32">
        <v>50000</v>
      </c>
      <c r="K33" s="32">
        <v>50000</v>
      </c>
      <c r="L33" s="32">
        <v>50000</v>
      </c>
      <c r="M33" s="32">
        <v>50000</v>
      </c>
      <c r="N33" s="32">
        <v>50000</v>
      </c>
      <c r="O33" s="32">
        <v>50000</v>
      </c>
      <c r="P33" s="17"/>
      <c r="Q33" s="32">
        <v>25000</v>
      </c>
      <c r="R33" s="32">
        <v>25000</v>
      </c>
      <c r="S33" s="32">
        <v>25000</v>
      </c>
      <c r="T33" s="32">
        <v>50000</v>
      </c>
      <c r="U33" s="32">
        <v>50000</v>
      </c>
      <c r="V33" s="32">
        <v>50000</v>
      </c>
      <c r="W33" s="32">
        <v>50000</v>
      </c>
      <c r="X33" s="32">
        <v>50000</v>
      </c>
      <c r="Y33" s="32">
        <v>50000</v>
      </c>
      <c r="Z33" s="32">
        <v>50000</v>
      </c>
      <c r="AA33" s="32">
        <v>50000</v>
      </c>
      <c r="AB33" s="32">
        <v>50000</v>
      </c>
      <c r="AC33" s="17"/>
    </row>
    <row r="34" spans="1:29" ht="18.75" x14ac:dyDescent="0.3">
      <c r="A34" s="46"/>
      <c r="B34" s="31" t="s">
        <v>34</v>
      </c>
      <c r="C34" s="31" t="s">
        <v>70</v>
      </c>
      <c r="D34" s="56">
        <v>5000</v>
      </c>
      <c r="E34" s="32">
        <v>5000</v>
      </c>
      <c r="F34" s="56">
        <v>5000</v>
      </c>
      <c r="G34" s="32">
        <v>5000</v>
      </c>
      <c r="H34" s="32">
        <v>5000</v>
      </c>
      <c r="I34" s="32">
        <v>5000</v>
      </c>
      <c r="J34" s="32">
        <v>5000</v>
      </c>
      <c r="K34" s="32">
        <v>5000</v>
      </c>
      <c r="L34" s="32">
        <v>5000</v>
      </c>
      <c r="M34" s="32">
        <v>5000</v>
      </c>
      <c r="N34" s="32">
        <v>5000</v>
      </c>
      <c r="O34" s="32">
        <v>5000</v>
      </c>
      <c r="P34" s="17"/>
      <c r="Q34" s="32">
        <v>2000</v>
      </c>
      <c r="R34" s="32">
        <v>2000</v>
      </c>
      <c r="S34" s="32">
        <v>2000</v>
      </c>
      <c r="T34" s="32">
        <v>2000</v>
      </c>
      <c r="U34" s="32">
        <v>2000</v>
      </c>
      <c r="V34" s="32">
        <v>2000</v>
      </c>
      <c r="W34" s="32">
        <v>2000</v>
      </c>
      <c r="X34" s="32">
        <v>2000</v>
      </c>
      <c r="Y34" s="32">
        <v>2000</v>
      </c>
      <c r="Z34" s="32">
        <v>2000</v>
      </c>
      <c r="AA34" s="32">
        <v>2000</v>
      </c>
      <c r="AB34" s="32">
        <v>2000</v>
      </c>
      <c r="AC34" s="17"/>
    </row>
    <row r="35" spans="1:29" ht="18.75" x14ac:dyDescent="0.3">
      <c r="A35" s="46"/>
      <c r="B35" s="31" t="s">
        <v>35</v>
      </c>
      <c r="C35" s="31" t="s">
        <v>71</v>
      </c>
      <c r="D35" s="56">
        <v>12000</v>
      </c>
      <c r="E35" s="32">
        <v>12000</v>
      </c>
      <c r="F35" s="56">
        <v>12000</v>
      </c>
      <c r="G35" s="32">
        <v>12000</v>
      </c>
      <c r="H35" s="32">
        <v>12000</v>
      </c>
      <c r="I35" s="32">
        <v>12000</v>
      </c>
      <c r="J35" s="32">
        <v>12000</v>
      </c>
      <c r="K35" s="32">
        <v>12000</v>
      </c>
      <c r="L35" s="32">
        <v>12000</v>
      </c>
      <c r="M35" s="32">
        <v>12000</v>
      </c>
      <c r="N35" s="32">
        <v>12000</v>
      </c>
      <c r="O35" s="32">
        <v>12000</v>
      </c>
      <c r="P35" s="17"/>
      <c r="Q35" s="32">
        <v>10000</v>
      </c>
      <c r="R35" s="32">
        <v>10000</v>
      </c>
      <c r="S35" s="32">
        <v>10000</v>
      </c>
      <c r="T35" s="32">
        <v>10000</v>
      </c>
      <c r="U35" s="32">
        <v>10000</v>
      </c>
      <c r="V35" s="32">
        <v>10000</v>
      </c>
      <c r="W35" s="32">
        <v>10000</v>
      </c>
      <c r="X35" s="32">
        <v>10000</v>
      </c>
      <c r="Y35" s="32">
        <v>10000</v>
      </c>
      <c r="Z35" s="32">
        <v>10000</v>
      </c>
      <c r="AA35" s="32">
        <v>10000</v>
      </c>
      <c r="AB35" s="32">
        <v>10000</v>
      </c>
      <c r="AC35" s="17"/>
    </row>
    <row r="36" spans="1:29" ht="18.75" x14ac:dyDescent="0.3">
      <c r="A36" s="46"/>
      <c r="B36" s="34" t="s">
        <v>7</v>
      </c>
      <c r="C36" s="4"/>
      <c r="D36" s="5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17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17"/>
    </row>
    <row r="37" spans="1:29" ht="18.75" x14ac:dyDescent="0.3">
      <c r="A37" s="46"/>
      <c r="B37" s="31" t="s">
        <v>36</v>
      </c>
      <c r="C37" s="31" t="s">
        <v>37</v>
      </c>
      <c r="D37" s="56">
        <v>10000</v>
      </c>
      <c r="E37" s="32">
        <v>10000</v>
      </c>
      <c r="F37" s="32">
        <v>10000</v>
      </c>
      <c r="G37" s="32">
        <v>10000</v>
      </c>
      <c r="H37" s="32">
        <v>10000</v>
      </c>
      <c r="I37" s="32">
        <v>10000</v>
      </c>
      <c r="J37" s="32">
        <v>10000</v>
      </c>
      <c r="K37" s="32">
        <v>10000</v>
      </c>
      <c r="L37" s="32">
        <v>10000</v>
      </c>
      <c r="M37" s="32">
        <v>10000</v>
      </c>
      <c r="N37" s="32">
        <v>10000</v>
      </c>
      <c r="O37" s="32">
        <v>10000</v>
      </c>
      <c r="P37" s="17"/>
      <c r="Q37" s="32">
        <v>11000</v>
      </c>
      <c r="R37" s="32">
        <v>11000</v>
      </c>
      <c r="S37" s="32">
        <v>11000</v>
      </c>
      <c r="T37" s="32">
        <v>11000</v>
      </c>
      <c r="U37" s="32">
        <v>11000</v>
      </c>
      <c r="V37" s="32">
        <v>11000</v>
      </c>
      <c r="W37" s="32">
        <v>11000</v>
      </c>
      <c r="X37" s="32">
        <v>11000</v>
      </c>
      <c r="Y37" s="32">
        <v>11000</v>
      </c>
      <c r="Z37" s="32">
        <v>11000</v>
      </c>
      <c r="AA37" s="32">
        <v>11000</v>
      </c>
      <c r="AB37" s="32">
        <v>11000</v>
      </c>
      <c r="AC37" s="17"/>
    </row>
    <row r="38" spans="1:29" ht="18.75" x14ac:dyDescent="0.3">
      <c r="A38" s="46"/>
      <c r="B38" s="34" t="s">
        <v>38</v>
      </c>
      <c r="C38" s="4"/>
      <c r="D38" s="5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7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7"/>
    </row>
    <row r="39" spans="1:29" ht="18.75" x14ac:dyDescent="0.3">
      <c r="A39" s="46"/>
      <c r="B39" s="31" t="s">
        <v>39</v>
      </c>
      <c r="C39" s="31" t="s">
        <v>40</v>
      </c>
      <c r="D39" s="56">
        <v>250</v>
      </c>
      <c r="E39" s="32">
        <v>250</v>
      </c>
      <c r="F39" s="32">
        <v>250</v>
      </c>
      <c r="G39" s="32">
        <v>250</v>
      </c>
      <c r="H39" s="32">
        <v>250</v>
      </c>
      <c r="I39" s="32">
        <v>250</v>
      </c>
      <c r="J39" s="32">
        <v>250</v>
      </c>
      <c r="K39" s="32">
        <v>250</v>
      </c>
      <c r="L39" s="32">
        <v>250</v>
      </c>
      <c r="M39" s="32">
        <v>250</v>
      </c>
      <c r="N39" s="32">
        <v>250</v>
      </c>
      <c r="O39" s="32">
        <v>250</v>
      </c>
      <c r="P39" s="17"/>
      <c r="Q39" s="32">
        <v>250</v>
      </c>
      <c r="R39" s="32">
        <v>250</v>
      </c>
      <c r="S39" s="32">
        <v>250</v>
      </c>
      <c r="T39" s="32">
        <v>250</v>
      </c>
      <c r="U39" s="32">
        <v>250</v>
      </c>
      <c r="V39" s="32">
        <v>250</v>
      </c>
      <c r="W39" s="32">
        <v>250</v>
      </c>
      <c r="X39" s="32">
        <v>250</v>
      </c>
      <c r="Y39" s="32">
        <v>250</v>
      </c>
      <c r="Z39" s="32">
        <v>250</v>
      </c>
      <c r="AA39" s="32">
        <v>250</v>
      </c>
      <c r="AB39" s="32">
        <v>250</v>
      </c>
      <c r="AC39" s="17"/>
    </row>
    <row r="40" spans="1:29" ht="18.75" x14ac:dyDescent="0.3">
      <c r="A40" s="46"/>
      <c r="B40" s="31" t="s">
        <v>41</v>
      </c>
      <c r="C40" s="31" t="s">
        <v>42</v>
      </c>
      <c r="D40" s="56">
        <v>1490</v>
      </c>
      <c r="E40" s="32">
        <v>1490</v>
      </c>
      <c r="F40" s="32">
        <v>1490</v>
      </c>
      <c r="G40" s="32">
        <v>1490</v>
      </c>
      <c r="H40" s="32">
        <v>1490</v>
      </c>
      <c r="I40" s="32">
        <v>1490</v>
      </c>
      <c r="J40" s="32">
        <v>1490</v>
      </c>
      <c r="K40" s="32">
        <v>1490</v>
      </c>
      <c r="L40" s="32">
        <v>1490</v>
      </c>
      <c r="M40" s="32">
        <v>1490</v>
      </c>
      <c r="N40" s="32">
        <v>1490</v>
      </c>
      <c r="O40" s="32">
        <v>1490</v>
      </c>
      <c r="P40" s="17"/>
      <c r="Q40" s="32">
        <v>1490</v>
      </c>
      <c r="R40" s="32">
        <v>1490</v>
      </c>
      <c r="S40" s="32">
        <v>1490</v>
      </c>
      <c r="T40" s="32">
        <v>1490</v>
      </c>
      <c r="U40" s="32">
        <v>1490</v>
      </c>
      <c r="V40" s="32">
        <v>1490</v>
      </c>
      <c r="W40" s="32">
        <v>1490</v>
      </c>
      <c r="X40" s="32">
        <v>1490</v>
      </c>
      <c r="Y40" s="32">
        <v>1490</v>
      </c>
      <c r="Z40" s="32">
        <v>1490</v>
      </c>
      <c r="AA40" s="32">
        <v>1490</v>
      </c>
      <c r="AB40" s="32">
        <v>1490</v>
      </c>
      <c r="AC40" s="17"/>
    </row>
    <row r="41" spans="1:29" ht="18.75" x14ac:dyDescent="0.3">
      <c r="A41" s="46"/>
      <c r="B41" s="31" t="s">
        <v>43</v>
      </c>
      <c r="C41" s="31" t="s">
        <v>44</v>
      </c>
      <c r="D41" s="56">
        <v>500</v>
      </c>
      <c r="E41" s="32">
        <v>500</v>
      </c>
      <c r="F41" s="32">
        <v>500</v>
      </c>
      <c r="G41" s="32">
        <v>500</v>
      </c>
      <c r="H41" s="32">
        <v>500</v>
      </c>
      <c r="I41" s="32">
        <v>500</v>
      </c>
      <c r="J41" s="32">
        <v>500</v>
      </c>
      <c r="K41" s="32">
        <v>500</v>
      </c>
      <c r="L41" s="32">
        <v>500</v>
      </c>
      <c r="M41" s="32">
        <v>500</v>
      </c>
      <c r="N41" s="32">
        <v>500</v>
      </c>
      <c r="O41" s="32">
        <v>500</v>
      </c>
      <c r="P41" s="17"/>
      <c r="Q41" s="32">
        <v>500</v>
      </c>
      <c r="R41" s="32">
        <v>500</v>
      </c>
      <c r="S41" s="32">
        <v>500</v>
      </c>
      <c r="T41" s="32">
        <v>500</v>
      </c>
      <c r="U41" s="32">
        <v>500</v>
      </c>
      <c r="V41" s="32">
        <v>500</v>
      </c>
      <c r="W41" s="32">
        <v>500</v>
      </c>
      <c r="X41" s="32">
        <v>500</v>
      </c>
      <c r="Y41" s="32">
        <v>500</v>
      </c>
      <c r="Z41" s="32">
        <v>500</v>
      </c>
      <c r="AA41" s="32">
        <v>500</v>
      </c>
      <c r="AB41" s="32">
        <v>500</v>
      </c>
      <c r="AC41" s="17"/>
    </row>
    <row r="42" spans="1:29" ht="18.75" x14ac:dyDescent="0.3">
      <c r="A42" s="46"/>
      <c r="B42" s="95" t="s">
        <v>86</v>
      </c>
      <c r="C42" s="61" t="s">
        <v>87</v>
      </c>
      <c r="D42" s="63">
        <v>5000</v>
      </c>
      <c r="E42" s="62">
        <v>5000</v>
      </c>
      <c r="F42" s="62">
        <v>5000</v>
      </c>
      <c r="G42" s="62">
        <v>5000</v>
      </c>
      <c r="H42" s="62">
        <v>5000</v>
      </c>
      <c r="I42" s="62">
        <v>5000</v>
      </c>
      <c r="J42" s="62">
        <v>5000</v>
      </c>
      <c r="K42" s="62">
        <v>5000</v>
      </c>
      <c r="L42" s="62">
        <v>5000</v>
      </c>
      <c r="M42" s="62">
        <v>5000</v>
      </c>
      <c r="N42" s="62">
        <v>5000</v>
      </c>
      <c r="O42" s="62">
        <v>5000</v>
      </c>
      <c r="P42" s="17"/>
      <c r="Q42" s="62">
        <v>6000</v>
      </c>
      <c r="R42" s="62">
        <v>6000</v>
      </c>
      <c r="S42" s="62">
        <v>6000</v>
      </c>
      <c r="T42" s="62">
        <v>6000</v>
      </c>
      <c r="U42" s="62">
        <v>6000</v>
      </c>
      <c r="V42" s="62">
        <v>6000</v>
      </c>
      <c r="W42" s="62">
        <v>6000</v>
      </c>
      <c r="X42" s="62">
        <v>6000</v>
      </c>
      <c r="Y42" s="62">
        <v>6000</v>
      </c>
      <c r="Z42" s="62">
        <v>6000</v>
      </c>
      <c r="AA42" s="62">
        <v>6000</v>
      </c>
      <c r="AB42" s="62">
        <v>6000</v>
      </c>
      <c r="AC42" s="17"/>
    </row>
    <row r="43" spans="1:29" ht="18.75" x14ac:dyDescent="0.3">
      <c r="A43" s="46">
        <v>4</v>
      </c>
      <c r="B43" s="10" t="s">
        <v>83</v>
      </c>
      <c r="C43" s="11"/>
      <c r="D43" s="55">
        <f>D44</f>
        <v>3718.8419999999996</v>
      </c>
      <c r="E43" s="30">
        <f t="shared" ref="E43:AB43" si="36">E44</f>
        <v>10984.852800000001</v>
      </c>
      <c r="F43" s="30">
        <f t="shared" si="36"/>
        <v>13824.162</v>
      </c>
      <c r="G43" s="30">
        <f t="shared" si="36"/>
        <v>18499.751999999997</v>
      </c>
      <c r="H43" s="30">
        <f t="shared" si="36"/>
        <v>20691.323999999997</v>
      </c>
      <c r="I43" s="30">
        <f t="shared" si="36"/>
        <v>28982.153699999995</v>
      </c>
      <c r="J43" s="30">
        <f t="shared" si="36"/>
        <v>30766.075064999997</v>
      </c>
      <c r="K43" s="30">
        <f t="shared" si="36"/>
        <v>34016.886434250002</v>
      </c>
      <c r="L43" s="30">
        <f t="shared" si="36"/>
        <v>27646.3288751625</v>
      </c>
      <c r="M43" s="30">
        <f t="shared" si="36"/>
        <v>27368.540261960621</v>
      </c>
      <c r="N43" s="30">
        <f t="shared" si="36"/>
        <v>25003.326374706652</v>
      </c>
      <c r="O43" s="30">
        <f t="shared" si="36"/>
        <v>27063.211293019584</v>
      </c>
      <c r="P43" s="16">
        <f>SUM(D43:O43)</f>
        <v>268565.45480409934</v>
      </c>
      <c r="Q43" s="30">
        <f t="shared" si="36"/>
        <v>21557.061689218728</v>
      </c>
      <c r="R43" s="30">
        <f t="shared" si="36"/>
        <v>30175.762773679664</v>
      </c>
      <c r="S43" s="30">
        <f t="shared" si="36"/>
        <v>36478.436912363642</v>
      </c>
      <c r="T43" s="30">
        <f t="shared" si="36"/>
        <v>46249.043757981832</v>
      </c>
      <c r="U43" s="30">
        <f t="shared" si="36"/>
        <v>65371.826445880914</v>
      </c>
      <c r="V43" s="30">
        <f t="shared" si="36"/>
        <v>76395.936018174951</v>
      </c>
      <c r="W43" s="30">
        <f t="shared" si="36"/>
        <v>86468.979394083697</v>
      </c>
      <c r="X43" s="30">
        <f t="shared" si="36"/>
        <v>97286.410786287859</v>
      </c>
      <c r="Y43" s="30">
        <f t="shared" si="36"/>
        <v>109622.90872935228</v>
      </c>
      <c r="Z43" s="30">
        <f t="shared" si="36"/>
        <v>90594.962478474874</v>
      </c>
      <c r="AA43" s="30">
        <f t="shared" si="36"/>
        <v>68351.28107864091</v>
      </c>
      <c r="AB43" s="30">
        <f t="shared" si="36"/>
        <v>60359.801780229202</v>
      </c>
      <c r="AC43" s="16">
        <f>SUM(Q43:AB43)</f>
        <v>788912.41184436856</v>
      </c>
    </row>
    <row r="44" spans="1:29" ht="19.5" thickBot="1" x14ac:dyDescent="0.35">
      <c r="A44" s="46"/>
      <c r="B44" s="36">
        <v>4.0999999999999996</v>
      </c>
      <c r="C44" s="31" t="s">
        <v>76</v>
      </c>
      <c r="D44" s="56">
        <f t="shared" ref="D44:O44" si="37">D18*0.06</f>
        <v>3718.8419999999996</v>
      </c>
      <c r="E44" s="32">
        <f t="shared" si="37"/>
        <v>10984.852800000001</v>
      </c>
      <c r="F44" s="32">
        <f t="shared" si="37"/>
        <v>13824.162</v>
      </c>
      <c r="G44" s="32">
        <f t="shared" si="37"/>
        <v>18499.751999999997</v>
      </c>
      <c r="H44" s="32">
        <f t="shared" si="37"/>
        <v>20691.323999999997</v>
      </c>
      <c r="I44" s="32">
        <f t="shared" si="37"/>
        <v>28982.153699999995</v>
      </c>
      <c r="J44" s="32">
        <f t="shared" si="37"/>
        <v>30766.075064999997</v>
      </c>
      <c r="K44" s="32">
        <f t="shared" si="37"/>
        <v>34016.886434250002</v>
      </c>
      <c r="L44" s="32">
        <f t="shared" si="37"/>
        <v>27646.3288751625</v>
      </c>
      <c r="M44" s="32">
        <f t="shared" si="37"/>
        <v>27368.540261960621</v>
      </c>
      <c r="N44" s="32">
        <f t="shared" si="37"/>
        <v>25003.326374706652</v>
      </c>
      <c r="O44" s="32">
        <f t="shared" si="37"/>
        <v>27063.211293019584</v>
      </c>
      <c r="P44" s="17"/>
      <c r="Q44" s="32">
        <f t="shared" ref="Q44:AB44" si="38">Q18*0.06</f>
        <v>21557.061689218728</v>
      </c>
      <c r="R44" s="32">
        <f t="shared" si="38"/>
        <v>30175.762773679664</v>
      </c>
      <c r="S44" s="32">
        <f t="shared" si="38"/>
        <v>36478.436912363642</v>
      </c>
      <c r="T44" s="32">
        <f t="shared" si="38"/>
        <v>46249.043757981832</v>
      </c>
      <c r="U44" s="32">
        <f t="shared" si="38"/>
        <v>65371.826445880914</v>
      </c>
      <c r="V44" s="32">
        <f t="shared" si="38"/>
        <v>76395.936018174951</v>
      </c>
      <c r="W44" s="32">
        <f t="shared" si="38"/>
        <v>86468.979394083697</v>
      </c>
      <c r="X44" s="32">
        <f t="shared" si="38"/>
        <v>97286.410786287859</v>
      </c>
      <c r="Y44" s="32">
        <f t="shared" si="38"/>
        <v>109622.90872935228</v>
      </c>
      <c r="Z44" s="32">
        <f t="shared" si="38"/>
        <v>90594.962478474874</v>
      </c>
      <c r="AA44" s="32">
        <f t="shared" si="38"/>
        <v>68351.28107864091</v>
      </c>
      <c r="AB44" s="32">
        <f t="shared" si="38"/>
        <v>60359.801780229202</v>
      </c>
      <c r="AC44" s="17"/>
    </row>
    <row r="45" spans="1:29" ht="19.5" thickBot="1" x14ac:dyDescent="0.35">
      <c r="A45" s="46"/>
      <c r="B45" s="7" t="s">
        <v>45</v>
      </c>
      <c r="C45" s="8"/>
      <c r="D45" s="58">
        <f t="shared" ref="D45:O45" si="39">D18-SUM(D25,D31,D44)</f>
        <v>-66944.282000000007</v>
      </c>
      <c r="E45" s="37">
        <f t="shared" si="39"/>
        <v>35459.851200000005</v>
      </c>
      <c r="F45" s="37">
        <f t="shared" si="39"/>
        <v>71665.998000000021</v>
      </c>
      <c r="G45" s="37">
        <f t="shared" si="39"/>
        <v>130523.20799999996</v>
      </c>
      <c r="H45" s="37">
        <f t="shared" si="39"/>
        <v>158734.41599999997</v>
      </c>
      <c r="I45" s="37">
        <f t="shared" si="39"/>
        <v>263036.54129999992</v>
      </c>
      <c r="J45" s="37">
        <f t="shared" si="39"/>
        <v>286480.32268499996</v>
      </c>
      <c r="K45" s="37">
        <f t="shared" si="39"/>
        <v>327666.76880325004</v>
      </c>
      <c r="L45" s="37">
        <f t="shared" si="39"/>
        <v>251301.42064421254</v>
      </c>
      <c r="M45" s="37">
        <f t="shared" si="39"/>
        <v>249536.58655738307</v>
      </c>
      <c r="N45" s="37">
        <f t="shared" si="39"/>
        <v>221032.44681440422</v>
      </c>
      <c r="O45" s="37">
        <f t="shared" si="39"/>
        <v>248064.92099010685</v>
      </c>
      <c r="P45" s="19">
        <f>SUM(D45:O45)</f>
        <v>2176558.1989943567</v>
      </c>
      <c r="Q45" s="37">
        <f t="shared" ref="Q45:AB45" si="40">Q18-SUM(Q25,Q31,Q44)</f>
        <v>183014.4997977601</v>
      </c>
      <c r="R45" s="37">
        <f t="shared" si="40"/>
        <v>290928.01678764808</v>
      </c>
      <c r="S45" s="37">
        <f t="shared" si="40"/>
        <v>370863.51162703044</v>
      </c>
      <c r="T45" s="37">
        <f t="shared" si="40"/>
        <v>469486.552208382</v>
      </c>
      <c r="U45" s="37">
        <f t="shared" si="40"/>
        <v>709383.41431880102</v>
      </c>
      <c r="V45" s="37">
        <f t="shared" si="40"/>
        <v>850718.66428474092</v>
      </c>
      <c r="W45" s="37">
        <f t="shared" si="40"/>
        <v>979332.00317397784</v>
      </c>
      <c r="X45" s="37">
        <f t="shared" si="40"/>
        <v>1115351.7250851765</v>
      </c>
      <c r="Y45" s="37">
        <f t="shared" si="40"/>
        <v>1270276.7050481858</v>
      </c>
      <c r="Z45" s="37">
        <f t="shared" si="40"/>
        <v>1034550.0883420897</v>
      </c>
      <c r="AA45" s="37">
        <f t="shared" si="40"/>
        <v>761664.59423180763</v>
      </c>
      <c r="AB45" s="37">
        <f t="shared" si="40"/>
        <v>665941.98475667927</v>
      </c>
      <c r="AC45" s="19">
        <f>SUM(Q45:AB45)</f>
        <v>8701511.7596622799</v>
      </c>
    </row>
    <row r="46" spans="1:29" x14ac:dyDescent="0.25">
      <c r="A46" s="46"/>
      <c r="B46" s="4"/>
      <c r="C46" s="4"/>
      <c r="D46" s="5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2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8"/>
    </row>
    <row r="47" spans="1:29" x14ac:dyDescent="0.25">
      <c r="A47" s="46"/>
      <c r="B47" s="4"/>
      <c r="C47" s="4"/>
      <c r="D47" s="5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1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8"/>
    </row>
    <row r="48" spans="1:29" x14ac:dyDescent="0.25">
      <c r="A48" s="46">
        <v>5</v>
      </c>
      <c r="B48" s="39" t="s">
        <v>46</v>
      </c>
      <c r="C48" s="39"/>
      <c r="D48" s="5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23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1"/>
    </row>
    <row r="49" spans="1:29" x14ac:dyDescent="0.25">
      <c r="A49" s="46"/>
      <c r="B49" s="4" t="s">
        <v>47</v>
      </c>
      <c r="C49" s="4"/>
      <c r="D49" s="56">
        <v>500000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1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8"/>
    </row>
    <row r="50" spans="1:29" x14ac:dyDescent="0.25">
      <c r="A50" s="46"/>
      <c r="B50" s="4" t="s">
        <v>77</v>
      </c>
      <c r="C50" s="4"/>
      <c r="D50" s="5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38"/>
    </row>
    <row r="51" spans="1:29" ht="30.75" customHeight="1" x14ac:dyDescent="0.25">
      <c r="A51" s="46"/>
      <c r="B51" s="4"/>
      <c r="C51" s="49" t="s">
        <v>88</v>
      </c>
      <c r="D51" s="56">
        <v>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1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8"/>
    </row>
    <row r="52" spans="1:29" x14ac:dyDescent="0.25">
      <c r="A52" s="46"/>
      <c r="B52" s="4"/>
      <c r="C52" s="48" t="s">
        <v>101</v>
      </c>
      <c r="D52" s="56">
        <v>20000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1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38"/>
    </row>
    <row r="53" spans="1:29" x14ac:dyDescent="0.25">
      <c r="A53" s="46"/>
      <c r="B53" s="4"/>
      <c r="C53" s="50" t="s">
        <v>48</v>
      </c>
      <c r="D53" s="56">
        <f>SUM(D49,D51,D52)</f>
        <v>520000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1"/>
      <c r="Q53" s="42">
        <f>D53+O57</f>
        <v>2176558.1989943571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8"/>
    </row>
    <row r="54" spans="1:29" ht="15.75" thickBot="1" x14ac:dyDescent="0.3">
      <c r="A54" s="46"/>
      <c r="B54" s="4"/>
      <c r="C54" s="4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1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8"/>
    </row>
    <row r="55" spans="1:29" ht="19.5" thickBot="1" x14ac:dyDescent="0.3">
      <c r="A55" s="46">
        <v>6</v>
      </c>
      <c r="B55" s="20" t="s">
        <v>80</v>
      </c>
      <c r="C55" s="20"/>
      <c r="D55" s="131">
        <f>P45/D53</f>
        <v>4.1856888442199169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3"/>
      <c r="Q55" s="132">
        <f>AC45/Q53</f>
        <v>3.997830962518103</v>
      </c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3"/>
    </row>
    <row r="56" spans="1:29" x14ac:dyDescent="0.25">
      <c r="A56" s="46"/>
      <c r="B56" s="4"/>
      <c r="C56" s="4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2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8"/>
    </row>
    <row r="57" spans="1:29" x14ac:dyDescent="0.25">
      <c r="A57" s="46">
        <v>7</v>
      </c>
      <c r="B57" s="87" t="s">
        <v>49</v>
      </c>
      <c r="C57" s="92">
        <f>0-D53</f>
        <v>-520000</v>
      </c>
      <c r="D57" s="88">
        <f>C57+D45</f>
        <v>-586944.28200000001</v>
      </c>
      <c r="E57" s="88">
        <f t="shared" ref="E57:AA57" si="41">D57+E45</f>
        <v>-551484.43079999997</v>
      </c>
      <c r="F57" s="88">
        <f t="shared" ref="F57" si="42">E57+F45</f>
        <v>-479818.43279999995</v>
      </c>
      <c r="G57" s="88">
        <f t="shared" ref="G57" si="43">F57+G45</f>
        <v>-349295.22479999997</v>
      </c>
      <c r="H57" s="88">
        <f t="shared" ref="H57" si="44">G57+H45</f>
        <v>-190560.8088</v>
      </c>
      <c r="I57" s="88">
        <f t="shared" ref="I57" si="45">H57+I45</f>
        <v>72475.732499999925</v>
      </c>
      <c r="J57" s="88">
        <f t="shared" ref="J57" si="46">I57+J45</f>
        <v>358956.05518499989</v>
      </c>
      <c r="K57" s="88">
        <f t="shared" ref="K57" si="47">J57+K45</f>
        <v>686622.82398824999</v>
      </c>
      <c r="L57" s="88">
        <f t="shared" ref="L57" si="48">K57+L45</f>
        <v>937924.24463246251</v>
      </c>
      <c r="M57" s="88">
        <f t="shared" ref="M57" si="49">L57+M45</f>
        <v>1187460.8311898457</v>
      </c>
      <c r="N57" s="88">
        <f t="shared" ref="N57" si="50">M57+N45</f>
        <v>1408493.27800425</v>
      </c>
      <c r="O57" s="88">
        <f t="shared" ref="O57" si="51">N57+O45</f>
        <v>1656558.1989943569</v>
      </c>
      <c r="P57" s="89"/>
      <c r="Q57" s="88">
        <f>O57+Q45</f>
        <v>1839572.6987921169</v>
      </c>
      <c r="R57" s="88">
        <f t="shared" si="41"/>
        <v>2130500.7155797649</v>
      </c>
      <c r="S57" s="88">
        <f t="shared" si="41"/>
        <v>2501364.2272067955</v>
      </c>
      <c r="T57" s="88">
        <f t="shared" si="41"/>
        <v>2970850.7794151776</v>
      </c>
      <c r="U57" s="88">
        <f t="shared" si="41"/>
        <v>3680234.1937339786</v>
      </c>
      <c r="V57" s="88">
        <f t="shared" si="41"/>
        <v>4530952.8580187196</v>
      </c>
      <c r="W57" s="88">
        <f t="shared" si="41"/>
        <v>5510284.8611926977</v>
      </c>
      <c r="X57" s="88">
        <f t="shared" si="41"/>
        <v>6625636.5862778742</v>
      </c>
      <c r="Y57" s="88">
        <f t="shared" si="41"/>
        <v>7895913.29132606</v>
      </c>
      <c r="Z57" s="88">
        <f t="shared" si="41"/>
        <v>8930463.3796681501</v>
      </c>
      <c r="AA57" s="88">
        <f t="shared" si="41"/>
        <v>9692127.9738999568</v>
      </c>
      <c r="AB57" s="88">
        <f>AA57+AB45</f>
        <v>10358069.958656635</v>
      </c>
      <c r="AC57" s="38"/>
    </row>
    <row r="58" spans="1:29" ht="15.75" thickBot="1" x14ac:dyDescent="0.3">
      <c r="A58" s="91"/>
      <c r="B58" s="43" t="s">
        <v>106</v>
      </c>
      <c r="C58" s="93">
        <f xml:space="preserve"> (C57 + $D53) / $D53</f>
        <v>0</v>
      </c>
      <c r="D58" s="90">
        <f xml:space="preserve"> (D57 + $D53) / $D53</f>
        <v>-0.12873900384615386</v>
      </c>
      <c r="E58" s="90">
        <f xml:space="preserve"> (E57 + $D53) / $D53</f>
        <v>-6.0546982307692253E-2</v>
      </c>
      <c r="F58" s="90">
        <f t="shared" ref="F58:O58" si="52" xml:space="preserve"> (F57 + $D53) / $D53</f>
        <v>7.7272244615384705E-2</v>
      </c>
      <c r="G58" s="90">
        <f t="shared" si="52"/>
        <v>0.32827841384615392</v>
      </c>
      <c r="H58" s="90">
        <f t="shared" si="52"/>
        <v>0.63353690615384617</v>
      </c>
      <c r="I58" s="90">
        <f t="shared" si="52"/>
        <v>1.139376408653846</v>
      </c>
      <c r="J58" s="90">
        <f t="shared" si="52"/>
        <v>1.6903001061249998</v>
      </c>
      <c r="K58" s="90">
        <f t="shared" si="52"/>
        <v>2.3204285076697113</v>
      </c>
      <c r="L58" s="90">
        <f t="shared" si="52"/>
        <v>2.8037004704470432</v>
      </c>
      <c r="M58" s="90">
        <f t="shared" si="52"/>
        <v>3.2835785215189341</v>
      </c>
      <c r="N58" s="90">
        <f t="shared" si="52"/>
        <v>3.7086409192389422</v>
      </c>
      <c r="O58" s="90">
        <f t="shared" si="52"/>
        <v>4.1856888442199178</v>
      </c>
      <c r="P58" s="94"/>
      <c r="Q58" s="90">
        <f t="shared" ref="Q58:AA58" si="53" xml:space="preserve"> (Q57 + $D53) / $D53</f>
        <v>4.5376398053694551</v>
      </c>
      <c r="R58" s="90">
        <f t="shared" si="53"/>
        <v>5.0971167607303167</v>
      </c>
      <c r="S58" s="90">
        <f t="shared" si="53"/>
        <v>5.81031582155153</v>
      </c>
      <c r="T58" s="90">
        <f t="shared" si="53"/>
        <v>6.7131745757984183</v>
      </c>
      <c r="U58" s="90">
        <f t="shared" si="53"/>
        <v>8.0773734494884213</v>
      </c>
      <c r="V58" s="90">
        <f t="shared" si="53"/>
        <v>9.7133708808052308</v>
      </c>
      <c r="W58" s="90">
        <f t="shared" si="53"/>
        <v>11.596701656139803</v>
      </c>
      <c r="X58" s="90">
        <f t="shared" si="53"/>
        <v>13.741608819765142</v>
      </c>
      <c r="Y58" s="90">
        <f t="shared" si="53"/>
        <v>16.184448637165502</v>
      </c>
      <c r="Z58" s="90">
        <f t="shared" si="53"/>
        <v>18.173968037823364</v>
      </c>
      <c r="AA58" s="90">
        <f t="shared" si="53"/>
        <v>19.638707642115303</v>
      </c>
      <c r="AB58" s="90">
        <f xml:space="preserve"> (AB57 + $D53) / $D53</f>
        <v>20.919365305108915</v>
      </c>
      <c r="AC58" s="44"/>
    </row>
  </sheetData>
  <mergeCells count="4">
    <mergeCell ref="P1:P2"/>
    <mergeCell ref="AC1:AC2"/>
    <mergeCell ref="D55:P55"/>
    <mergeCell ref="Q55:AC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topLeftCell="A4" workbookViewId="0">
      <selection activeCell="D12" sqref="D12"/>
    </sheetView>
  </sheetViews>
  <sheetFormatPr defaultRowHeight="15" x14ac:dyDescent="0.25"/>
  <cols>
    <col min="2" max="2" width="31.140625" customWidth="1"/>
    <col min="3" max="3" width="40.42578125" customWidth="1"/>
    <col min="4" max="5" width="12.42578125" bestFit="1" customWidth="1"/>
    <col min="6" max="9" width="12.28515625" customWidth="1"/>
    <col min="10" max="15" width="12.42578125" bestFit="1" customWidth="1"/>
    <col min="16" max="16" width="17.7109375" customWidth="1"/>
    <col min="17" max="20" width="12.7109375" bestFit="1" customWidth="1"/>
    <col min="21" max="28" width="14.5703125" bestFit="1" customWidth="1"/>
    <col min="29" max="29" width="16.28515625" customWidth="1"/>
  </cols>
  <sheetData>
    <row r="2" spans="1:14" s="128" customFormat="1" x14ac:dyDescent="0.25">
      <c r="B2" s="140" t="s">
        <v>122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x14ac:dyDescent="0.25">
      <c r="B3" s="119" t="s">
        <v>115</v>
      </c>
      <c r="C3" s="120">
        <v>500000</v>
      </c>
      <c r="D3" s="25"/>
      <c r="E3" s="139" t="s">
        <v>124</v>
      </c>
      <c r="F3" s="139"/>
      <c r="G3" s="139"/>
      <c r="H3" s="139"/>
      <c r="I3" s="141" t="s">
        <v>118</v>
      </c>
      <c r="K3" s="143" t="s">
        <v>125</v>
      </c>
      <c r="L3" s="144"/>
      <c r="M3" s="145"/>
    </row>
    <row r="4" spans="1:14" x14ac:dyDescent="0.25">
      <c r="A4" s="96"/>
      <c r="B4" s="138" t="s">
        <v>123</v>
      </c>
      <c r="C4" s="137"/>
      <c r="D4" s="25"/>
      <c r="E4" s="139"/>
      <c r="F4" s="139"/>
      <c r="G4" s="139"/>
      <c r="H4" s="139"/>
      <c r="I4" s="142"/>
      <c r="K4" s="146"/>
      <c r="L4" s="147"/>
      <c r="M4" s="148"/>
    </row>
    <row r="5" spans="1:14" x14ac:dyDescent="0.25">
      <c r="B5" s="102" t="s">
        <v>109</v>
      </c>
      <c r="C5" s="121">
        <v>390</v>
      </c>
      <c r="D5" s="25"/>
      <c r="E5" s="137" t="s">
        <v>117</v>
      </c>
      <c r="F5" s="137"/>
      <c r="G5" s="137"/>
      <c r="H5" s="137"/>
      <c r="I5" s="124">
        <v>15000</v>
      </c>
      <c r="J5" s="112"/>
      <c r="K5" s="149" t="s">
        <v>47</v>
      </c>
      <c r="L5" s="150"/>
      <c r="M5" s="125">
        <v>200000</v>
      </c>
    </row>
    <row r="6" spans="1:14" x14ac:dyDescent="0.25">
      <c r="B6" s="102" t="s">
        <v>110</v>
      </c>
      <c r="C6" s="121">
        <v>300</v>
      </c>
      <c r="D6" s="25"/>
      <c r="E6" s="137" t="s">
        <v>116</v>
      </c>
      <c r="F6" s="137"/>
      <c r="G6" s="137"/>
      <c r="H6" s="137"/>
      <c r="I6" s="124">
        <v>10000</v>
      </c>
      <c r="K6" s="149" t="s">
        <v>126</v>
      </c>
      <c r="L6" s="150"/>
      <c r="M6" s="125">
        <v>42000</v>
      </c>
    </row>
    <row r="7" spans="1:14" x14ac:dyDescent="0.25">
      <c r="B7" s="102" t="s">
        <v>111</v>
      </c>
      <c r="C7" s="121">
        <v>1500</v>
      </c>
      <c r="D7" s="25"/>
      <c r="E7" s="137" t="s">
        <v>70</v>
      </c>
      <c r="F7" s="137"/>
      <c r="G7" s="137"/>
      <c r="H7" s="137"/>
      <c r="I7" s="124">
        <v>2000</v>
      </c>
      <c r="K7" s="149" t="s">
        <v>127</v>
      </c>
      <c r="L7" s="150"/>
      <c r="M7" s="125">
        <v>20000</v>
      </c>
    </row>
    <row r="8" spans="1:14" x14ac:dyDescent="0.25">
      <c r="B8" s="102" t="s">
        <v>112</v>
      </c>
      <c r="C8" s="121">
        <v>1200</v>
      </c>
      <c r="D8" s="25"/>
      <c r="E8" s="137" t="s">
        <v>71</v>
      </c>
      <c r="F8" s="137"/>
      <c r="G8" s="137"/>
      <c r="H8" s="137"/>
      <c r="I8" s="124">
        <v>5000</v>
      </c>
    </row>
    <row r="9" spans="1:14" x14ac:dyDescent="0.25">
      <c r="B9" s="102" t="s">
        <v>113</v>
      </c>
      <c r="C9" s="121">
        <v>200</v>
      </c>
      <c r="D9" s="25"/>
      <c r="E9" s="137" t="s">
        <v>119</v>
      </c>
      <c r="F9" s="137"/>
      <c r="G9" s="137"/>
      <c r="H9" s="137"/>
      <c r="I9" s="124">
        <v>28000</v>
      </c>
    </row>
    <row r="10" spans="1:14" x14ac:dyDescent="0.25">
      <c r="B10" s="25"/>
      <c r="C10" s="25"/>
      <c r="D10" s="25"/>
      <c r="E10" s="137" t="s">
        <v>7</v>
      </c>
      <c r="F10" s="137"/>
      <c r="G10" s="137"/>
      <c r="H10" s="137"/>
      <c r="I10" s="124">
        <v>5000</v>
      </c>
    </row>
    <row r="11" spans="1:14" x14ac:dyDescent="0.25">
      <c r="B11" s="135" t="s">
        <v>128</v>
      </c>
      <c r="C11" s="136"/>
      <c r="D11" s="25"/>
      <c r="E11" s="137" t="s">
        <v>120</v>
      </c>
      <c r="F11" s="137"/>
      <c r="G11" s="137"/>
      <c r="H11" s="137"/>
      <c r="I11" s="124">
        <v>500</v>
      </c>
    </row>
    <row r="12" spans="1:14" ht="21" x14ac:dyDescent="0.35">
      <c r="B12" s="127" t="s">
        <v>129</v>
      </c>
      <c r="C12" s="126">
        <f>P60</f>
        <v>1514503.5181749875</v>
      </c>
      <c r="D12" s="25"/>
      <c r="E12" s="137" t="s">
        <v>121</v>
      </c>
      <c r="F12" s="137"/>
      <c r="G12" s="137"/>
      <c r="H12" s="137"/>
      <c r="I12" s="124">
        <v>2000</v>
      </c>
    </row>
    <row r="13" spans="1:14" ht="21" x14ac:dyDescent="0.35">
      <c r="B13" s="127" t="s">
        <v>130</v>
      </c>
      <c r="C13" s="126">
        <f>AC60</f>
        <v>2878453.6459687785</v>
      </c>
      <c r="D13" s="25"/>
      <c r="E13" s="122"/>
      <c r="F13" s="122"/>
      <c r="G13" s="122"/>
      <c r="H13" s="122"/>
      <c r="I13" s="123"/>
    </row>
    <row r="14" spans="1:14" x14ac:dyDescent="0.25">
      <c r="B14" s="25"/>
      <c r="C14" s="25"/>
      <c r="D14" s="25"/>
      <c r="E14" s="122"/>
      <c r="F14" s="122"/>
      <c r="G14" s="122"/>
      <c r="H14" s="122"/>
      <c r="I14" s="123"/>
    </row>
    <row r="16" spans="1:14" ht="15.75" thickBot="1" x14ac:dyDescent="0.3"/>
    <row r="17" spans="1:29" ht="15.75" thickBot="1" x14ac:dyDescent="0.3">
      <c r="A17" s="45"/>
      <c r="B17" s="47" t="s">
        <v>16</v>
      </c>
      <c r="C17" s="47"/>
      <c r="D17" s="51">
        <v>2020</v>
      </c>
      <c r="E17" s="51">
        <v>2020</v>
      </c>
      <c r="F17" s="51">
        <v>2020</v>
      </c>
      <c r="G17" s="24">
        <v>2020</v>
      </c>
      <c r="H17" s="24">
        <v>2020</v>
      </c>
      <c r="I17" s="24">
        <v>2020</v>
      </c>
      <c r="J17" s="24">
        <v>2020</v>
      </c>
      <c r="K17" s="24">
        <v>2020</v>
      </c>
      <c r="L17" s="24">
        <v>2020</v>
      </c>
      <c r="M17" s="24">
        <v>2020</v>
      </c>
      <c r="N17" s="24">
        <v>2020</v>
      </c>
      <c r="O17" s="24">
        <v>2020</v>
      </c>
      <c r="P17" s="129" t="s">
        <v>81</v>
      </c>
      <c r="Q17" s="24">
        <v>2021</v>
      </c>
      <c r="R17" s="24">
        <v>2021</v>
      </c>
      <c r="S17" s="24">
        <v>2021</v>
      </c>
      <c r="T17" s="24">
        <v>2021</v>
      </c>
      <c r="U17" s="24">
        <v>2021</v>
      </c>
      <c r="V17" s="24">
        <v>2021</v>
      </c>
      <c r="W17" s="24">
        <v>2021</v>
      </c>
      <c r="X17" s="24">
        <v>2021</v>
      </c>
      <c r="Y17" s="24">
        <v>2021</v>
      </c>
      <c r="Z17" s="24">
        <v>2021</v>
      </c>
      <c r="AA17" s="24">
        <v>2021</v>
      </c>
      <c r="AB17" s="24">
        <v>2021</v>
      </c>
      <c r="AC17" s="129" t="s">
        <v>82</v>
      </c>
    </row>
    <row r="18" spans="1:29" ht="16.5" thickTop="1" thickBot="1" x14ac:dyDescent="0.3">
      <c r="A18" s="46"/>
      <c r="B18" s="5"/>
      <c r="C18" s="4"/>
      <c r="D18" s="52" t="s">
        <v>58</v>
      </c>
      <c r="E18" s="85" t="s">
        <v>59</v>
      </c>
      <c r="F18" s="52" t="s">
        <v>60</v>
      </c>
      <c r="G18" s="25" t="s">
        <v>61</v>
      </c>
      <c r="H18" s="25" t="s">
        <v>50</v>
      </c>
      <c r="I18" s="25" t="s">
        <v>51</v>
      </c>
      <c r="J18" s="25" t="s">
        <v>52</v>
      </c>
      <c r="K18" s="25" t="s">
        <v>53</v>
      </c>
      <c r="L18" s="25" t="s">
        <v>54</v>
      </c>
      <c r="M18" s="25" t="s">
        <v>55</v>
      </c>
      <c r="N18" s="25" t="s">
        <v>56</v>
      </c>
      <c r="O18" s="25" t="s">
        <v>57</v>
      </c>
      <c r="P18" s="134"/>
      <c r="Q18" s="25" t="s">
        <v>58</v>
      </c>
      <c r="R18" s="25" t="s">
        <v>59</v>
      </c>
      <c r="S18" s="25" t="s">
        <v>60</v>
      </c>
      <c r="T18" s="25" t="s">
        <v>61</v>
      </c>
      <c r="U18" s="25" t="s">
        <v>50</v>
      </c>
      <c r="V18" s="25" t="s">
        <v>51</v>
      </c>
      <c r="W18" s="25" t="s">
        <v>52</v>
      </c>
      <c r="X18" s="25" t="s">
        <v>53</v>
      </c>
      <c r="Y18" s="25" t="s">
        <v>54</v>
      </c>
      <c r="Z18" s="25" t="s">
        <v>55</v>
      </c>
      <c r="AA18" s="25" t="s">
        <v>56</v>
      </c>
      <c r="AB18" s="25" t="s">
        <v>57</v>
      </c>
      <c r="AC18" s="134"/>
    </row>
    <row r="19" spans="1:29" x14ac:dyDescent="0.25">
      <c r="A19" s="46"/>
      <c r="B19" s="7" t="s">
        <v>17</v>
      </c>
      <c r="C19" s="8"/>
      <c r="D19" s="65">
        <f>mini!D3*2.5</f>
        <v>12.5</v>
      </c>
      <c r="E19" s="66">
        <f>mini!E3*2.5</f>
        <v>25</v>
      </c>
      <c r="F19" s="65">
        <f>mini!F3*2.5</f>
        <v>50</v>
      </c>
      <c r="G19" s="66">
        <f>mini!G3*2.5</f>
        <v>50</v>
      </c>
      <c r="H19" s="66">
        <f>mini!H3*2.5</f>
        <v>62.5</v>
      </c>
      <c r="I19" s="66">
        <f>mini!I3*2.5</f>
        <v>75</v>
      </c>
      <c r="J19" s="66">
        <f>mini!J3*2.5</f>
        <v>75</v>
      </c>
      <c r="K19" s="66">
        <f>mini!K3*2.5</f>
        <v>75</v>
      </c>
      <c r="L19" s="66">
        <f>mini!L3*2.5</f>
        <v>75</v>
      </c>
      <c r="M19" s="66">
        <f>mini!M3*2.5</f>
        <v>75</v>
      </c>
      <c r="N19" s="66">
        <f>mini!N3*2.5</f>
        <v>75</v>
      </c>
      <c r="O19" s="66">
        <f>mini!O3*2.5</f>
        <v>75</v>
      </c>
      <c r="P19" s="12"/>
      <c r="Q19" s="66">
        <f>mini!Q3*2.5</f>
        <v>50</v>
      </c>
      <c r="R19" s="66">
        <f>mini!R3*2.5</f>
        <v>50</v>
      </c>
      <c r="S19" s="66">
        <f>mini!S3*2.5</f>
        <v>50</v>
      </c>
      <c r="T19" s="66">
        <f>mini!T3*2.5</f>
        <v>62.5</v>
      </c>
      <c r="U19" s="66">
        <f>mini!U3*2.5</f>
        <v>112.5</v>
      </c>
      <c r="V19" s="66">
        <f>mini!V3*2.5</f>
        <v>150</v>
      </c>
      <c r="W19" s="66">
        <f>mini!W3*2.5</f>
        <v>175</v>
      </c>
      <c r="X19" s="66">
        <f>mini!X3*2.5</f>
        <v>225</v>
      </c>
      <c r="Y19" s="66">
        <f>mini!Y3*2.5</f>
        <v>225</v>
      </c>
      <c r="Z19" s="66">
        <f>mini!Z3*2.5</f>
        <v>237.5</v>
      </c>
      <c r="AA19" s="66">
        <f>mini!AA3*2.5</f>
        <v>237.5</v>
      </c>
      <c r="AB19" s="66">
        <f>mini!AB3*2.5</f>
        <v>250</v>
      </c>
      <c r="AC19" s="13"/>
    </row>
    <row r="20" spans="1:29" x14ac:dyDescent="0.25">
      <c r="A20" s="46"/>
      <c r="B20" s="5"/>
      <c r="C20" s="4"/>
      <c r="D20" s="5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3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13"/>
    </row>
    <row r="21" spans="1:29" x14ac:dyDescent="0.25">
      <c r="A21" s="101"/>
      <c r="B21" s="97" t="s">
        <v>114</v>
      </c>
      <c r="C21" s="98"/>
      <c r="D21" s="5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3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13"/>
    </row>
    <row r="22" spans="1:29" ht="18.75" x14ac:dyDescent="0.3">
      <c r="A22" s="101"/>
      <c r="B22" s="96"/>
      <c r="C22" s="99" t="s">
        <v>62</v>
      </c>
      <c r="D22" s="64">
        <f>$C$3/2000</f>
        <v>250</v>
      </c>
      <c r="E22" s="28">
        <f>D22*1.1</f>
        <v>275</v>
      </c>
      <c r="F22" s="28">
        <f>E22*1.15</f>
        <v>316.25</v>
      </c>
      <c r="G22" s="28">
        <f>F22*1.3</f>
        <v>411.125</v>
      </c>
      <c r="H22" s="28">
        <f>G22*1.6</f>
        <v>657.80000000000007</v>
      </c>
      <c r="I22" s="28">
        <f>H22*2</f>
        <v>1315.6000000000001</v>
      </c>
      <c r="J22" s="28">
        <f>I22</f>
        <v>1315.6000000000001</v>
      </c>
      <c r="K22" s="28">
        <f>J22</f>
        <v>1315.6000000000001</v>
      </c>
      <c r="L22" s="28">
        <f>K22-K22*0.1</f>
        <v>1184.0400000000002</v>
      </c>
      <c r="M22" s="28">
        <f>L22-L22*0.2</f>
        <v>947.2320000000002</v>
      </c>
      <c r="N22" s="28">
        <f>M22-M22*0.1</f>
        <v>852.50880000000018</v>
      </c>
      <c r="O22" s="28">
        <f>N22-N22*0.15</f>
        <v>724.63248000000021</v>
      </c>
      <c r="P22" s="15">
        <f t="shared" ref="P22:P27" si="0">SUM(D22:O22)</f>
        <v>9565.388280000001</v>
      </c>
      <c r="Q22" s="28">
        <f>D22*1.5</f>
        <v>375</v>
      </c>
      <c r="R22" s="28">
        <f>Q22*1.2</f>
        <v>450</v>
      </c>
      <c r="S22" s="28">
        <f>R22*1.4</f>
        <v>630</v>
      </c>
      <c r="T22" s="28">
        <f>S22*1.1</f>
        <v>693</v>
      </c>
      <c r="U22" s="28">
        <f>T22*1.4</f>
        <v>970.19999999999993</v>
      </c>
      <c r="V22" s="28">
        <f>U22*1.8</f>
        <v>1746.36</v>
      </c>
      <c r="W22" s="28">
        <f>V22*1.1</f>
        <v>1920.9960000000001</v>
      </c>
      <c r="X22" s="28">
        <f>W22*1.2</f>
        <v>2305.1952000000001</v>
      </c>
      <c r="Y22" s="28">
        <f>X22</f>
        <v>2305.1952000000001</v>
      </c>
      <c r="Z22" s="28">
        <f>Y22*0.9</f>
        <v>2074.6756800000003</v>
      </c>
      <c r="AA22" s="28">
        <f>Z22*0.95</f>
        <v>1970.9418960000003</v>
      </c>
      <c r="AB22" s="28">
        <f>AA22*0.7</f>
        <v>1379.6593272</v>
      </c>
      <c r="AC22" s="15">
        <f>SUM(Q22:AB22)</f>
        <v>16821.2233032</v>
      </c>
    </row>
    <row r="23" spans="1:29" ht="18.75" x14ac:dyDescent="0.3">
      <c r="A23" s="101"/>
      <c r="B23" s="96"/>
      <c r="C23" s="99" t="s">
        <v>63</v>
      </c>
      <c r="D23" s="64">
        <f>C3/10000</f>
        <v>50</v>
      </c>
      <c r="E23" s="28">
        <f t="shared" ref="E23:E26" si="1">D23*1.1</f>
        <v>55.000000000000007</v>
      </c>
      <c r="F23" s="28">
        <f t="shared" ref="F23:F26" si="2">E23*1.15</f>
        <v>63.25</v>
      </c>
      <c r="G23" s="28">
        <f t="shared" ref="G23:G26" si="3">F23*1.3</f>
        <v>82.225000000000009</v>
      </c>
      <c r="H23" s="28">
        <f t="shared" ref="H23:H26" si="4">G23*1.6</f>
        <v>131.56000000000003</v>
      </c>
      <c r="I23" s="28">
        <f t="shared" ref="I23:I26" si="5">H23*2</f>
        <v>263.12000000000006</v>
      </c>
      <c r="J23" s="28">
        <f t="shared" ref="J23:K26" si="6">I23</f>
        <v>263.12000000000006</v>
      </c>
      <c r="K23" s="28">
        <f t="shared" si="6"/>
        <v>263.12000000000006</v>
      </c>
      <c r="L23" s="28">
        <f t="shared" ref="L23:L26" si="7">K23-K23*0.1</f>
        <v>236.80800000000005</v>
      </c>
      <c r="M23" s="28">
        <f t="shared" ref="M23:M26" si="8">L23-L23*0.2</f>
        <v>189.44640000000004</v>
      </c>
      <c r="N23" s="28">
        <f t="shared" ref="N23:N26" si="9">M23-M23*0.1</f>
        <v>170.50176000000005</v>
      </c>
      <c r="O23" s="28">
        <f t="shared" ref="O23:O26" si="10">N23-N23*0.15</f>
        <v>144.92649600000004</v>
      </c>
      <c r="P23" s="15">
        <f t="shared" si="0"/>
        <v>1913.0776560000006</v>
      </c>
      <c r="Q23" s="28">
        <f t="shared" ref="Q23:Q26" si="11">D23*1.5</f>
        <v>75</v>
      </c>
      <c r="R23" s="28">
        <f t="shared" ref="R23:R26" si="12">Q23*1.2</f>
        <v>90</v>
      </c>
      <c r="S23" s="28">
        <f t="shared" ref="S23:S26" si="13">R23*1.4</f>
        <v>125.99999999999999</v>
      </c>
      <c r="T23" s="28">
        <f t="shared" ref="T23:T26" si="14">S23*1.1</f>
        <v>138.6</v>
      </c>
      <c r="U23" s="28">
        <f t="shared" ref="U23:U26" si="15">T23*1.4</f>
        <v>194.04</v>
      </c>
      <c r="V23" s="28">
        <f t="shared" ref="V23:V26" si="16">U23*1.8</f>
        <v>349.27199999999999</v>
      </c>
      <c r="W23" s="28">
        <f t="shared" ref="W23:W26" si="17">V23*1.1</f>
        <v>384.19920000000002</v>
      </c>
      <c r="X23" s="28">
        <f t="shared" ref="X23:X26" si="18">W23*1.2</f>
        <v>461.03904</v>
      </c>
      <c r="Y23" s="28">
        <f t="shared" ref="Y23:Y26" si="19">X23</f>
        <v>461.03904</v>
      </c>
      <c r="Z23" s="28">
        <f t="shared" ref="Z23:Z26" si="20">Y23*0.9</f>
        <v>414.935136</v>
      </c>
      <c r="AA23" s="28">
        <f t="shared" ref="AA23:AA26" si="21">Z23*0.95</f>
        <v>394.18837919999999</v>
      </c>
      <c r="AB23" s="28">
        <f t="shared" ref="AB23:AB26" si="22">AA23*0.7</f>
        <v>275.93186543999997</v>
      </c>
      <c r="AC23" s="15">
        <f t="shared" ref="AC23:AC26" si="23">SUM(Q23:AB23)</f>
        <v>3364.2446606399999</v>
      </c>
    </row>
    <row r="24" spans="1:29" ht="18.75" x14ac:dyDescent="0.3">
      <c r="A24" s="101"/>
      <c r="B24" s="96"/>
      <c r="C24" s="99" t="s">
        <v>64</v>
      </c>
      <c r="D24" s="64">
        <f>C3/40000</f>
        <v>12.5</v>
      </c>
      <c r="E24" s="28">
        <f t="shared" si="1"/>
        <v>13.750000000000002</v>
      </c>
      <c r="F24" s="28">
        <f t="shared" si="2"/>
        <v>15.8125</v>
      </c>
      <c r="G24" s="28">
        <f t="shared" si="3"/>
        <v>20.556250000000002</v>
      </c>
      <c r="H24" s="28">
        <f t="shared" si="4"/>
        <v>32.890000000000008</v>
      </c>
      <c r="I24" s="28">
        <f t="shared" si="5"/>
        <v>65.780000000000015</v>
      </c>
      <c r="J24" s="28">
        <f t="shared" si="6"/>
        <v>65.780000000000015</v>
      </c>
      <c r="K24" s="28">
        <f t="shared" si="6"/>
        <v>65.780000000000015</v>
      </c>
      <c r="L24" s="28">
        <f t="shared" si="7"/>
        <v>59.202000000000012</v>
      </c>
      <c r="M24" s="28">
        <f t="shared" si="8"/>
        <v>47.36160000000001</v>
      </c>
      <c r="N24" s="28">
        <f t="shared" si="9"/>
        <v>42.625440000000012</v>
      </c>
      <c r="O24" s="28">
        <f t="shared" si="10"/>
        <v>36.231624000000011</v>
      </c>
      <c r="P24" s="15">
        <f t="shared" si="0"/>
        <v>478.26941400000015</v>
      </c>
      <c r="Q24" s="28">
        <f t="shared" si="11"/>
        <v>18.75</v>
      </c>
      <c r="R24" s="28">
        <f t="shared" si="12"/>
        <v>22.5</v>
      </c>
      <c r="S24" s="28">
        <f t="shared" si="13"/>
        <v>31.499999999999996</v>
      </c>
      <c r="T24" s="28">
        <f t="shared" si="14"/>
        <v>34.65</v>
      </c>
      <c r="U24" s="28">
        <f t="shared" si="15"/>
        <v>48.51</v>
      </c>
      <c r="V24" s="28">
        <f t="shared" si="16"/>
        <v>87.317999999999998</v>
      </c>
      <c r="W24" s="28">
        <f t="shared" si="17"/>
        <v>96.049800000000005</v>
      </c>
      <c r="X24" s="28">
        <f t="shared" si="18"/>
        <v>115.25976</v>
      </c>
      <c r="Y24" s="28">
        <f t="shared" si="19"/>
        <v>115.25976</v>
      </c>
      <c r="Z24" s="28">
        <f t="shared" si="20"/>
        <v>103.733784</v>
      </c>
      <c r="AA24" s="28">
        <f t="shared" si="21"/>
        <v>98.547094799999996</v>
      </c>
      <c r="AB24" s="28">
        <f t="shared" si="22"/>
        <v>68.982966359999992</v>
      </c>
      <c r="AC24" s="15">
        <f t="shared" si="23"/>
        <v>841.06116515999997</v>
      </c>
    </row>
    <row r="25" spans="1:29" ht="18.75" x14ac:dyDescent="0.3">
      <c r="A25" s="101"/>
      <c r="B25" s="96"/>
      <c r="C25" s="100" t="s">
        <v>89</v>
      </c>
      <c r="D25" s="64">
        <f>C3/30000</f>
        <v>16.666666666666668</v>
      </c>
      <c r="E25" s="28">
        <f t="shared" si="1"/>
        <v>18.333333333333336</v>
      </c>
      <c r="F25" s="28">
        <f t="shared" si="2"/>
        <v>21.083333333333336</v>
      </c>
      <c r="G25" s="28">
        <f t="shared" si="3"/>
        <v>27.408333333333339</v>
      </c>
      <c r="H25" s="28">
        <f t="shared" si="4"/>
        <v>43.853333333333346</v>
      </c>
      <c r="I25" s="28">
        <f t="shared" si="5"/>
        <v>87.706666666666692</v>
      </c>
      <c r="J25" s="28">
        <f t="shared" si="6"/>
        <v>87.706666666666692</v>
      </c>
      <c r="K25" s="28">
        <f t="shared" si="6"/>
        <v>87.706666666666692</v>
      </c>
      <c r="L25" s="28">
        <f t="shared" si="7"/>
        <v>78.936000000000021</v>
      </c>
      <c r="M25" s="28">
        <f t="shared" si="8"/>
        <v>63.148800000000016</v>
      </c>
      <c r="N25" s="28">
        <f t="shared" si="9"/>
        <v>56.833920000000013</v>
      </c>
      <c r="O25" s="28">
        <f t="shared" si="10"/>
        <v>48.30883200000001</v>
      </c>
      <c r="P25" s="15">
        <f t="shared" si="0"/>
        <v>637.69255200000032</v>
      </c>
      <c r="Q25" s="28">
        <f t="shared" si="11"/>
        <v>25</v>
      </c>
      <c r="R25" s="28">
        <f t="shared" si="12"/>
        <v>30</v>
      </c>
      <c r="S25" s="28">
        <f t="shared" si="13"/>
        <v>42</v>
      </c>
      <c r="T25" s="28">
        <f t="shared" si="14"/>
        <v>46.2</v>
      </c>
      <c r="U25" s="28">
        <f t="shared" si="15"/>
        <v>64.680000000000007</v>
      </c>
      <c r="V25" s="28">
        <f t="shared" si="16"/>
        <v>116.42400000000002</v>
      </c>
      <c r="W25" s="28">
        <f t="shared" si="17"/>
        <v>128.06640000000004</v>
      </c>
      <c r="X25" s="28">
        <f t="shared" si="18"/>
        <v>153.67968000000005</v>
      </c>
      <c r="Y25" s="28">
        <f t="shared" si="19"/>
        <v>153.67968000000005</v>
      </c>
      <c r="Z25" s="28">
        <f t="shared" si="20"/>
        <v>138.31171200000006</v>
      </c>
      <c r="AA25" s="28">
        <f t="shared" si="21"/>
        <v>131.39612640000004</v>
      </c>
      <c r="AB25" s="28">
        <f t="shared" si="22"/>
        <v>91.977288480000027</v>
      </c>
      <c r="AC25" s="15">
        <f t="shared" si="23"/>
        <v>1121.4148868800003</v>
      </c>
    </row>
    <row r="26" spans="1:29" ht="18.75" x14ac:dyDescent="0.3">
      <c r="A26" s="101"/>
      <c r="B26" s="96"/>
      <c r="C26" s="100" t="s">
        <v>90</v>
      </c>
      <c r="D26" s="64">
        <f>C3/5000</f>
        <v>100</v>
      </c>
      <c r="E26" s="28">
        <f t="shared" si="1"/>
        <v>110.00000000000001</v>
      </c>
      <c r="F26" s="28">
        <f t="shared" si="2"/>
        <v>126.5</v>
      </c>
      <c r="G26" s="28">
        <f t="shared" si="3"/>
        <v>164.45000000000002</v>
      </c>
      <c r="H26" s="28">
        <f t="shared" si="4"/>
        <v>263.12000000000006</v>
      </c>
      <c r="I26" s="28">
        <f t="shared" si="5"/>
        <v>526.24000000000012</v>
      </c>
      <c r="J26" s="28">
        <f t="shared" si="6"/>
        <v>526.24000000000012</v>
      </c>
      <c r="K26" s="28">
        <f t="shared" si="6"/>
        <v>526.24000000000012</v>
      </c>
      <c r="L26" s="28">
        <f t="shared" si="7"/>
        <v>473.6160000000001</v>
      </c>
      <c r="M26" s="28">
        <f t="shared" si="8"/>
        <v>378.89280000000008</v>
      </c>
      <c r="N26" s="28">
        <f t="shared" si="9"/>
        <v>341.00352000000009</v>
      </c>
      <c r="O26" s="28">
        <f t="shared" si="10"/>
        <v>289.85299200000009</v>
      </c>
      <c r="P26" s="15">
        <f t="shared" si="0"/>
        <v>3826.1553120000012</v>
      </c>
      <c r="Q26" s="28">
        <f t="shared" si="11"/>
        <v>150</v>
      </c>
      <c r="R26" s="28">
        <f t="shared" si="12"/>
        <v>180</v>
      </c>
      <c r="S26" s="28">
        <f t="shared" si="13"/>
        <v>251.99999999999997</v>
      </c>
      <c r="T26" s="28">
        <f t="shared" si="14"/>
        <v>277.2</v>
      </c>
      <c r="U26" s="28">
        <f t="shared" si="15"/>
        <v>388.08</v>
      </c>
      <c r="V26" s="28">
        <f t="shared" si="16"/>
        <v>698.54399999999998</v>
      </c>
      <c r="W26" s="28">
        <f t="shared" si="17"/>
        <v>768.39840000000004</v>
      </c>
      <c r="X26" s="28">
        <f t="shared" si="18"/>
        <v>922.07808</v>
      </c>
      <c r="Y26" s="28">
        <f t="shared" si="19"/>
        <v>922.07808</v>
      </c>
      <c r="Z26" s="28">
        <f t="shared" si="20"/>
        <v>829.870272</v>
      </c>
      <c r="AA26" s="28">
        <f t="shared" si="21"/>
        <v>788.37675839999997</v>
      </c>
      <c r="AB26" s="28">
        <f t="shared" si="22"/>
        <v>551.86373087999993</v>
      </c>
      <c r="AC26" s="15">
        <f t="shared" si="23"/>
        <v>6728.4893212799998</v>
      </c>
    </row>
    <row r="27" spans="1:29" ht="18.75" x14ac:dyDescent="0.3">
      <c r="A27" s="46">
        <v>1</v>
      </c>
      <c r="B27" s="10" t="s">
        <v>72</v>
      </c>
      <c r="C27" s="11"/>
      <c r="D27" s="55">
        <f t="shared" ref="D27:O27" si="24">SUM(D28:D30)</f>
        <v>243000</v>
      </c>
      <c r="E27" s="30">
        <f t="shared" si="24"/>
        <v>267300</v>
      </c>
      <c r="F27" s="30">
        <f t="shared" si="24"/>
        <v>307395</v>
      </c>
      <c r="G27" s="30">
        <f t="shared" si="24"/>
        <v>399613.5</v>
      </c>
      <c r="H27" s="30">
        <f t="shared" si="24"/>
        <v>639381.60000000009</v>
      </c>
      <c r="I27" s="30">
        <f t="shared" si="24"/>
        <v>1278763.2000000002</v>
      </c>
      <c r="J27" s="30">
        <f t="shared" si="24"/>
        <v>1278763.2000000002</v>
      </c>
      <c r="K27" s="30">
        <f t="shared" si="24"/>
        <v>1278763.2000000002</v>
      </c>
      <c r="L27" s="30">
        <f t="shared" si="24"/>
        <v>1150886.8800000004</v>
      </c>
      <c r="M27" s="30">
        <f t="shared" si="24"/>
        <v>920709.50400000042</v>
      </c>
      <c r="N27" s="30">
        <f t="shared" si="24"/>
        <v>828638.55360000022</v>
      </c>
      <c r="O27" s="30">
        <f t="shared" si="24"/>
        <v>704342.77056000009</v>
      </c>
      <c r="P27" s="16">
        <f t="shared" si="0"/>
        <v>9297557.408160001</v>
      </c>
      <c r="Q27" s="30">
        <f t="shared" ref="Q27:AB27" si="25">SUM(Q28:Q31)</f>
        <v>484500</v>
      </c>
      <c r="R27" s="30">
        <f t="shared" si="25"/>
        <v>581400</v>
      </c>
      <c r="S27" s="30">
        <f t="shared" si="25"/>
        <v>813960</v>
      </c>
      <c r="T27" s="30">
        <f t="shared" si="25"/>
        <v>895356</v>
      </c>
      <c r="U27" s="30">
        <f t="shared" si="25"/>
        <v>1253498.3999999999</v>
      </c>
      <c r="V27" s="30">
        <f t="shared" si="25"/>
        <v>2256297.12</v>
      </c>
      <c r="W27" s="30">
        <f t="shared" si="25"/>
        <v>2481926.8320000004</v>
      </c>
      <c r="X27" s="30">
        <f t="shared" si="25"/>
        <v>2978312.1984000006</v>
      </c>
      <c r="Y27" s="30">
        <f t="shared" si="25"/>
        <v>2978312.1984000006</v>
      </c>
      <c r="Z27" s="30">
        <f t="shared" si="25"/>
        <v>2680480.9785600002</v>
      </c>
      <c r="AA27" s="30">
        <f t="shared" si="25"/>
        <v>2546456.9296320006</v>
      </c>
      <c r="AB27" s="30">
        <f t="shared" si="25"/>
        <v>1782519.8507423999</v>
      </c>
      <c r="AC27" s="16">
        <f>SUM(Q27:AB27)</f>
        <v>21733020.507734399</v>
      </c>
    </row>
    <row r="28" spans="1:29" ht="18.75" x14ac:dyDescent="0.3">
      <c r="A28" s="46"/>
      <c r="B28" s="31" t="s">
        <v>20</v>
      </c>
      <c r="C28" s="31" t="s">
        <v>21</v>
      </c>
      <c r="D28" s="56">
        <f>D22*0.6*$C$5+D22*3*0.4*$C$5</f>
        <v>175500</v>
      </c>
      <c r="E28" s="32">
        <f t="shared" ref="E28:O28" si="26">E22*0.6*$C$5+E22*3*0.4*$C$5</f>
        <v>193050</v>
      </c>
      <c r="F28" s="32">
        <f t="shared" si="26"/>
        <v>222007.5</v>
      </c>
      <c r="G28" s="32">
        <f t="shared" si="26"/>
        <v>288609.75</v>
      </c>
      <c r="H28" s="32">
        <f t="shared" si="26"/>
        <v>461775.60000000003</v>
      </c>
      <c r="I28" s="32">
        <f t="shared" si="26"/>
        <v>923551.20000000007</v>
      </c>
      <c r="J28" s="32">
        <f t="shared" si="26"/>
        <v>923551.20000000007</v>
      </c>
      <c r="K28" s="32">
        <f t="shared" si="26"/>
        <v>923551.20000000007</v>
      </c>
      <c r="L28" s="32">
        <f t="shared" si="26"/>
        <v>831196.08000000031</v>
      </c>
      <c r="M28" s="32">
        <f t="shared" si="26"/>
        <v>664956.86400000029</v>
      </c>
      <c r="N28" s="32">
        <f t="shared" si="26"/>
        <v>598461.17760000017</v>
      </c>
      <c r="O28" s="32">
        <f t="shared" si="26"/>
        <v>508692.00096000015</v>
      </c>
      <c r="P28" s="17"/>
      <c r="Q28" s="32">
        <f>Q22*0.6*$C$5+Q22*3*0.4*$C$5</f>
        <v>263250</v>
      </c>
      <c r="R28" s="32">
        <f t="shared" ref="R28:AB28" si="27">R22*0.6*$C$5+R22*3*0.4*$C$5</f>
        <v>315900</v>
      </c>
      <c r="S28" s="32">
        <f t="shared" si="27"/>
        <v>442260</v>
      </c>
      <c r="T28" s="32">
        <f t="shared" si="27"/>
        <v>486486</v>
      </c>
      <c r="U28" s="32">
        <f t="shared" si="27"/>
        <v>681080.39999999991</v>
      </c>
      <c r="V28" s="32">
        <f t="shared" si="27"/>
        <v>1225944.72</v>
      </c>
      <c r="W28" s="32">
        <f t="shared" si="27"/>
        <v>1348539.192</v>
      </c>
      <c r="X28" s="32">
        <f t="shared" si="27"/>
        <v>1618247.0304</v>
      </c>
      <c r="Y28" s="32">
        <f t="shared" si="27"/>
        <v>1618247.0304</v>
      </c>
      <c r="Z28" s="32">
        <f t="shared" si="27"/>
        <v>1456422.32736</v>
      </c>
      <c r="AA28" s="32">
        <f t="shared" si="27"/>
        <v>1383601.2109920003</v>
      </c>
      <c r="AB28" s="32">
        <f t="shared" si="27"/>
        <v>968520.8476944</v>
      </c>
      <c r="AC28" s="17"/>
    </row>
    <row r="29" spans="1:29" ht="18.75" x14ac:dyDescent="0.3">
      <c r="A29" s="46"/>
      <c r="B29" s="31" t="s">
        <v>22</v>
      </c>
      <c r="C29" s="31" t="s">
        <v>23</v>
      </c>
      <c r="D29" s="56">
        <f>2*$C$6*D23</f>
        <v>30000</v>
      </c>
      <c r="E29" s="32">
        <f t="shared" ref="E29:O29" si="28">2*$C$6*E23</f>
        <v>33000.000000000007</v>
      </c>
      <c r="F29" s="32">
        <f t="shared" si="28"/>
        <v>37950</v>
      </c>
      <c r="G29" s="32">
        <f t="shared" si="28"/>
        <v>49335.000000000007</v>
      </c>
      <c r="H29" s="32">
        <f t="shared" si="28"/>
        <v>78936.000000000015</v>
      </c>
      <c r="I29" s="32">
        <f t="shared" si="28"/>
        <v>157872.00000000003</v>
      </c>
      <c r="J29" s="32">
        <f t="shared" si="28"/>
        <v>157872.00000000003</v>
      </c>
      <c r="K29" s="32">
        <f t="shared" si="28"/>
        <v>157872.00000000003</v>
      </c>
      <c r="L29" s="32">
        <f t="shared" si="28"/>
        <v>142084.80000000002</v>
      </c>
      <c r="M29" s="32">
        <f t="shared" si="28"/>
        <v>113667.84000000003</v>
      </c>
      <c r="N29" s="32">
        <f t="shared" si="28"/>
        <v>102301.05600000003</v>
      </c>
      <c r="O29" s="32">
        <f t="shared" si="28"/>
        <v>86955.897600000026</v>
      </c>
      <c r="P29" s="17"/>
      <c r="Q29" s="32">
        <f>2*$C$6*Q23</f>
        <v>45000</v>
      </c>
      <c r="R29" s="32">
        <f t="shared" ref="R29:AB29" si="29">2*$C$6*R23</f>
        <v>54000</v>
      </c>
      <c r="S29" s="32">
        <f t="shared" si="29"/>
        <v>75599.999999999985</v>
      </c>
      <c r="T29" s="32">
        <f t="shared" si="29"/>
        <v>83160</v>
      </c>
      <c r="U29" s="32">
        <f t="shared" si="29"/>
        <v>116424</v>
      </c>
      <c r="V29" s="32">
        <f t="shared" si="29"/>
        <v>209563.19999999998</v>
      </c>
      <c r="W29" s="32">
        <f t="shared" si="29"/>
        <v>230519.52000000002</v>
      </c>
      <c r="X29" s="32">
        <f t="shared" si="29"/>
        <v>276623.424</v>
      </c>
      <c r="Y29" s="32">
        <f t="shared" si="29"/>
        <v>276623.424</v>
      </c>
      <c r="Z29" s="32">
        <f t="shared" si="29"/>
        <v>248961.0816</v>
      </c>
      <c r="AA29" s="32">
        <f t="shared" si="29"/>
        <v>236513.02752</v>
      </c>
      <c r="AB29" s="32">
        <f t="shared" si="29"/>
        <v>165559.11926399998</v>
      </c>
      <c r="AC29" s="17"/>
    </row>
    <row r="30" spans="1:29" ht="18.75" x14ac:dyDescent="0.3">
      <c r="A30" s="46"/>
      <c r="B30" s="31" t="s">
        <v>24</v>
      </c>
      <c r="C30" s="31" t="s">
        <v>96</v>
      </c>
      <c r="D30" s="56">
        <f>D24*$C$7*2</f>
        <v>37500</v>
      </c>
      <c r="E30" s="32">
        <f t="shared" ref="E30:O30" si="30">E24*$C$7*2</f>
        <v>41250.000000000007</v>
      </c>
      <c r="F30" s="32">
        <f t="shared" si="30"/>
        <v>47437.5</v>
      </c>
      <c r="G30" s="32">
        <f t="shared" si="30"/>
        <v>61668.750000000007</v>
      </c>
      <c r="H30" s="32">
        <f t="shared" si="30"/>
        <v>98670.000000000029</v>
      </c>
      <c r="I30" s="32">
        <f t="shared" si="30"/>
        <v>197340.00000000006</v>
      </c>
      <c r="J30" s="32">
        <f t="shared" si="30"/>
        <v>197340.00000000006</v>
      </c>
      <c r="K30" s="32">
        <f t="shared" si="30"/>
        <v>197340.00000000006</v>
      </c>
      <c r="L30" s="32">
        <f t="shared" si="30"/>
        <v>177606.00000000003</v>
      </c>
      <c r="M30" s="32">
        <f t="shared" si="30"/>
        <v>142084.80000000002</v>
      </c>
      <c r="N30" s="32">
        <f t="shared" si="30"/>
        <v>127876.32000000004</v>
      </c>
      <c r="O30" s="32">
        <f t="shared" si="30"/>
        <v>108694.87200000003</v>
      </c>
      <c r="P30" s="17"/>
      <c r="Q30" s="32">
        <f>Q24*$C$7*2</f>
        <v>56250</v>
      </c>
      <c r="R30" s="32">
        <f t="shared" ref="R30:AB30" si="31">R24*$C$7*2</f>
        <v>67500</v>
      </c>
      <c r="S30" s="32">
        <f t="shared" si="31"/>
        <v>94499.999999999985</v>
      </c>
      <c r="T30" s="32">
        <f t="shared" si="31"/>
        <v>103950</v>
      </c>
      <c r="U30" s="32">
        <f t="shared" si="31"/>
        <v>145530</v>
      </c>
      <c r="V30" s="32">
        <f t="shared" si="31"/>
        <v>261954</v>
      </c>
      <c r="W30" s="32">
        <f t="shared" si="31"/>
        <v>288149.40000000002</v>
      </c>
      <c r="X30" s="32">
        <f t="shared" si="31"/>
        <v>345779.28</v>
      </c>
      <c r="Y30" s="32">
        <f t="shared" si="31"/>
        <v>345779.28</v>
      </c>
      <c r="Z30" s="32">
        <f t="shared" si="31"/>
        <v>311201.35200000001</v>
      </c>
      <c r="AA30" s="32">
        <f t="shared" si="31"/>
        <v>295641.2844</v>
      </c>
      <c r="AB30" s="32">
        <f t="shared" si="31"/>
        <v>206948.89907999997</v>
      </c>
      <c r="AC30" s="17"/>
    </row>
    <row r="31" spans="1:29" ht="18.75" x14ac:dyDescent="0.3">
      <c r="A31" s="46"/>
      <c r="B31" s="31" t="s">
        <v>91</v>
      </c>
      <c r="C31" s="31" t="s">
        <v>97</v>
      </c>
      <c r="D31" s="56">
        <f>D25*$C$8*4</f>
        <v>80000</v>
      </c>
      <c r="E31" s="32">
        <f t="shared" ref="E31:O31" si="32">E25*$C$8*4</f>
        <v>88000.000000000015</v>
      </c>
      <c r="F31" s="32">
        <f t="shared" si="32"/>
        <v>101200.00000000001</v>
      </c>
      <c r="G31" s="32">
        <f t="shared" si="32"/>
        <v>131560.00000000003</v>
      </c>
      <c r="H31" s="32">
        <f t="shared" si="32"/>
        <v>210496.00000000006</v>
      </c>
      <c r="I31" s="32">
        <f t="shared" si="32"/>
        <v>420992.00000000012</v>
      </c>
      <c r="J31" s="32">
        <f t="shared" si="32"/>
        <v>420992.00000000012</v>
      </c>
      <c r="K31" s="32">
        <f t="shared" si="32"/>
        <v>420992.00000000012</v>
      </c>
      <c r="L31" s="32">
        <f t="shared" si="32"/>
        <v>378892.8000000001</v>
      </c>
      <c r="M31" s="32">
        <f t="shared" si="32"/>
        <v>303114.24000000005</v>
      </c>
      <c r="N31" s="32">
        <f t="shared" si="32"/>
        <v>272802.81600000005</v>
      </c>
      <c r="O31" s="32">
        <f t="shared" si="32"/>
        <v>231882.39360000004</v>
      </c>
      <c r="P31" s="17"/>
      <c r="Q31" s="32">
        <f>Q25*$C$8*4</f>
        <v>120000</v>
      </c>
      <c r="R31" s="32">
        <f t="shared" ref="R31:AB31" si="33">R25*$C$8*4</f>
        <v>144000</v>
      </c>
      <c r="S31" s="32">
        <f t="shared" si="33"/>
        <v>201600</v>
      </c>
      <c r="T31" s="32">
        <f t="shared" si="33"/>
        <v>221760</v>
      </c>
      <c r="U31" s="32">
        <f t="shared" si="33"/>
        <v>310464.00000000006</v>
      </c>
      <c r="V31" s="32">
        <f t="shared" si="33"/>
        <v>558835.20000000007</v>
      </c>
      <c r="W31" s="32">
        <f t="shared" si="33"/>
        <v>614718.7200000002</v>
      </c>
      <c r="X31" s="32">
        <f t="shared" si="33"/>
        <v>737662.46400000027</v>
      </c>
      <c r="Y31" s="32">
        <f t="shared" si="33"/>
        <v>737662.46400000027</v>
      </c>
      <c r="Z31" s="32">
        <f t="shared" si="33"/>
        <v>663896.21760000032</v>
      </c>
      <c r="AA31" s="32">
        <f t="shared" si="33"/>
        <v>630701.4067200002</v>
      </c>
      <c r="AB31" s="32">
        <f t="shared" si="33"/>
        <v>441490.98470400012</v>
      </c>
      <c r="AC31" s="17"/>
    </row>
    <row r="32" spans="1:29" ht="18.75" x14ac:dyDescent="0.3">
      <c r="A32" s="46"/>
      <c r="B32" s="31" t="s">
        <v>92</v>
      </c>
      <c r="C32" s="61" t="s">
        <v>98</v>
      </c>
      <c r="D32" s="56">
        <f>D26*$C$9</f>
        <v>20000</v>
      </c>
      <c r="E32" s="32">
        <f t="shared" ref="E32:O32" si="34">E26*$C$9</f>
        <v>22000.000000000004</v>
      </c>
      <c r="F32" s="32">
        <f t="shared" si="34"/>
        <v>25300</v>
      </c>
      <c r="G32" s="32">
        <f t="shared" si="34"/>
        <v>32890</v>
      </c>
      <c r="H32" s="32">
        <f t="shared" si="34"/>
        <v>52624.000000000015</v>
      </c>
      <c r="I32" s="32">
        <f t="shared" si="34"/>
        <v>105248.00000000003</v>
      </c>
      <c r="J32" s="32">
        <f t="shared" si="34"/>
        <v>105248.00000000003</v>
      </c>
      <c r="K32" s="32">
        <f t="shared" si="34"/>
        <v>105248.00000000003</v>
      </c>
      <c r="L32" s="32">
        <f t="shared" si="34"/>
        <v>94723.200000000026</v>
      </c>
      <c r="M32" s="32">
        <f t="shared" si="34"/>
        <v>75778.560000000012</v>
      </c>
      <c r="N32" s="32">
        <f t="shared" si="34"/>
        <v>68200.704000000012</v>
      </c>
      <c r="O32" s="32">
        <f t="shared" si="34"/>
        <v>57970.598400000017</v>
      </c>
      <c r="P32" s="17"/>
      <c r="Q32" s="62">
        <f>Q26*$C$9</f>
        <v>30000</v>
      </c>
      <c r="R32" s="62">
        <f t="shared" ref="R32:AB32" si="35">R26*$C$9</f>
        <v>36000</v>
      </c>
      <c r="S32" s="62">
        <f t="shared" si="35"/>
        <v>50399.999999999993</v>
      </c>
      <c r="T32" s="62">
        <f t="shared" si="35"/>
        <v>55440</v>
      </c>
      <c r="U32" s="62">
        <f t="shared" si="35"/>
        <v>77616</v>
      </c>
      <c r="V32" s="62">
        <f t="shared" si="35"/>
        <v>139708.79999999999</v>
      </c>
      <c r="W32" s="62">
        <f t="shared" si="35"/>
        <v>153679.67999999999</v>
      </c>
      <c r="X32" s="62">
        <f t="shared" si="35"/>
        <v>184415.61600000001</v>
      </c>
      <c r="Y32" s="62">
        <f t="shared" si="35"/>
        <v>184415.61600000001</v>
      </c>
      <c r="Z32" s="62">
        <f t="shared" si="35"/>
        <v>165974.05439999999</v>
      </c>
      <c r="AA32" s="62">
        <f t="shared" si="35"/>
        <v>157675.35167999999</v>
      </c>
      <c r="AB32" s="62">
        <f t="shared" si="35"/>
        <v>110372.74617599999</v>
      </c>
      <c r="AC32" s="17"/>
    </row>
    <row r="33" spans="1:29" s="109" customFormat="1" ht="15.75" x14ac:dyDescent="0.25">
      <c r="A33" s="103"/>
      <c r="B33" s="104" t="s">
        <v>19</v>
      </c>
      <c r="C33" s="105"/>
      <c r="D33" s="106">
        <f t="shared" ref="D33:O33" si="36">SUM(D34:D39)</f>
        <v>54950</v>
      </c>
      <c r="E33" s="107">
        <f t="shared" si="36"/>
        <v>88445</v>
      </c>
      <c r="F33" s="107">
        <f t="shared" si="36"/>
        <v>98911.75</v>
      </c>
      <c r="G33" s="107">
        <f t="shared" si="36"/>
        <v>121235.27500000001</v>
      </c>
      <c r="H33" s="107">
        <f t="shared" si="36"/>
        <v>176997.94</v>
      </c>
      <c r="I33" s="107">
        <f t="shared" si="36"/>
        <v>323203.05499999999</v>
      </c>
      <c r="J33" s="107">
        <f t="shared" si="36"/>
        <v>324904.76375000004</v>
      </c>
      <c r="K33" s="107">
        <f t="shared" si="36"/>
        <v>326691.55793750001</v>
      </c>
      <c r="L33" s="107">
        <f t="shared" si="36"/>
        <v>299650.80383437505</v>
      </c>
      <c r="M33" s="107">
        <f t="shared" si="36"/>
        <v>249570.34602609382</v>
      </c>
      <c r="N33" s="107">
        <f t="shared" si="36"/>
        <v>230818.62428739847</v>
      </c>
      <c r="O33" s="107">
        <f t="shared" si="36"/>
        <v>204883.26865376843</v>
      </c>
      <c r="P33" s="108">
        <f>SUM(D33:O33)</f>
        <v>2500262.3844891358</v>
      </c>
      <c r="Q33" s="107">
        <f t="shared" ref="Q33:AB33" si="37">SUM(Q34:Q39)</f>
        <v>130314.50202725679</v>
      </c>
      <c r="R33" s="107">
        <f t="shared" si="37"/>
        <v>149193.97712861965</v>
      </c>
      <c r="S33" s="107">
        <f t="shared" si="37"/>
        <v>191272.17598505062</v>
      </c>
      <c r="T33" s="107">
        <f t="shared" si="37"/>
        <v>207759.48478430315</v>
      </c>
      <c r="U33" s="107">
        <f t="shared" si="37"/>
        <v>271459.9490235183</v>
      </c>
      <c r="V33" s="107">
        <f t="shared" si="37"/>
        <v>444970.41647469427</v>
      </c>
      <c r="W33" s="107">
        <f t="shared" si="37"/>
        <v>486411.43369842897</v>
      </c>
      <c r="X33" s="107">
        <f t="shared" si="37"/>
        <v>574067.24350335042</v>
      </c>
      <c r="Y33" s="107">
        <f t="shared" si="37"/>
        <v>577436.51043051796</v>
      </c>
      <c r="Z33" s="107">
        <f t="shared" si="37"/>
        <v>530306.05020804389</v>
      </c>
      <c r="AA33" s="107">
        <f t="shared" si="37"/>
        <v>511219.98127204611</v>
      </c>
      <c r="AB33" s="107">
        <f t="shared" si="37"/>
        <v>385156.42027636827</v>
      </c>
      <c r="AC33" s="108">
        <f>SUM(Q33:AB33)</f>
        <v>4459568.1448121984</v>
      </c>
    </row>
    <row r="34" spans="1:29" ht="18.75" x14ac:dyDescent="0.3">
      <c r="A34" s="46"/>
      <c r="B34" s="31" t="s">
        <v>73</v>
      </c>
      <c r="C34" s="31" t="s">
        <v>21</v>
      </c>
      <c r="D34" s="56">
        <f>D28*0.15</f>
        <v>26325</v>
      </c>
      <c r="E34" s="32">
        <f t="shared" ref="E34:O34" si="38">E28*0.15</f>
        <v>28957.5</v>
      </c>
      <c r="F34" s="32">
        <f t="shared" si="38"/>
        <v>33301.125</v>
      </c>
      <c r="G34" s="32">
        <f t="shared" si="38"/>
        <v>43291.462500000001</v>
      </c>
      <c r="H34" s="32">
        <f t="shared" si="38"/>
        <v>69266.34</v>
      </c>
      <c r="I34" s="32">
        <f t="shared" si="38"/>
        <v>138532.68</v>
      </c>
      <c r="J34" s="32">
        <f t="shared" si="38"/>
        <v>138532.68</v>
      </c>
      <c r="K34" s="32">
        <f t="shared" si="38"/>
        <v>138532.68</v>
      </c>
      <c r="L34" s="32">
        <f t="shared" si="38"/>
        <v>124679.41200000004</v>
      </c>
      <c r="M34" s="32">
        <f t="shared" si="38"/>
        <v>99743.529600000038</v>
      </c>
      <c r="N34" s="32">
        <f t="shared" si="38"/>
        <v>89769.17664000002</v>
      </c>
      <c r="O34" s="32">
        <f t="shared" si="38"/>
        <v>76303.800144000023</v>
      </c>
      <c r="P34" s="17"/>
      <c r="Q34" s="32">
        <f>Q28*0.15</f>
        <v>39487.5</v>
      </c>
      <c r="R34" s="32">
        <f t="shared" ref="R34:AB34" si="39">R28*0.15</f>
        <v>47385</v>
      </c>
      <c r="S34" s="32">
        <f t="shared" si="39"/>
        <v>66339</v>
      </c>
      <c r="T34" s="32">
        <f t="shared" si="39"/>
        <v>72972.899999999994</v>
      </c>
      <c r="U34" s="32">
        <f t="shared" si="39"/>
        <v>102162.05999999998</v>
      </c>
      <c r="V34" s="32">
        <f t="shared" si="39"/>
        <v>183891.70799999998</v>
      </c>
      <c r="W34" s="32">
        <f t="shared" si="39"/>
        <v>202280.87880000001</v>
      </c>
      <c r="X34" s="32">
        <f t="shared" si="39"/>
        <v>242737.05455999999</v>
      </c>
      <c r="Y34" s="32">
        <f t="shared" si="39"/>
        <v>242737.05455999999</v>
      </c>
      <c r="Z34" s="32">
        <f t="shared" si="39"/>
        <v>218463.34910399999</v>
      </c>
      <c r="AA34" s="32">
        <f t="shared" si="39"/>
        <v>207540.18164880003</v>
      </c>
      <c r="AB34" s="32">
        <f t="shared" si="39"/>
        <v>145278.12715416</v>
      </c>
      <c r="AC34" s="17"/>
    </row>
    <row r="35" spans="1:29" ht="18.75" x14ac:dyDescent="0.3">
      <c r="A35" s="46"/>
      <c r="B35" s="31" t="s">
        <v>74</v>
      </c>
      <c r="C35" s="31" t="s">
        <v>23</v>
      </c>
      <c r="D35" s="56">
        <f>D29*0.2</f>
        <v>6000</v>
      </c>
      <c r="E35" s="32">
        <f t="shared" ref="E35:O35" si="40">E29*0.2</f>
        <v>6600.0000000000018</v>
      </c>
      <c r="F35" s="32">
        <f t="shared" si="40"/>
        <v>7590</v>
      </c>
      <c r="G35" s="32">
        <f t="shared" si="40"/>
        <v>9867.0000000000018</v>
      </c>
      <c r="H35" s="32">
        <f t="shared" si="40"/>
        <v>15787.200000000004</v>
      </c>
      <c r="I35" s="32">
        <f t="shared" si="40"/>
        <v>31574.400000000009</v>
      </c>
      <c r="J35" s="32">
        <f t="shared" si="40"/>
        <v>31574.400000000009</v>
      </c>
      <c r="K35" s="32">
        <f t="shared" si="40"/>
        <v>31574.400000000009</v>
      </c>
      <c r="L35" s="32">
        <f t="shared" si="40"/>
        <v>28416.960000000006</v>
      </c>
      <c r="M35" s="32">
        <f t="shared" si="40"/>
        <v>22733.568000000007</v>
      </c>
      <c r="N35" s="32">
        <f t="shared" si="40"/>
        <v>20460.211200000005</v>
      </c>
      <c r="O35" s="32">
        <f t="shared" si="40"/>
        <v>17391.179520000005</v>
      </c>
      <c r="P35" s="17"/>
      <c r="Q35" s="32">
        <f>Q29*0.2</f>
        <v>9000</v>
      </c>
      <c r="R35" s="32">
        <f t="shared" ref="R35:AB35" si="41">R29*0.2</f>
        <v>10800</v>
      </c>
      <c r="S35" s="32">
        <f t="shared" si="41"/>
        <v>15119.999999999998</v>
      </c>
      <c r="T35" s="32">
        <f t="shared" si="41"/>
        <v>16632</v>
      </c>
      <c r="U35" s="32">
        <f t="shared" si="41"/>
        <v>23284.800000000003</v>
      </c>
      <c r="V35" s="32">
        <f t="shared" si="41"/>
        <v>41912.639999999999</v>
      </c>
      <c r="W35" s="32">
        <f t="shared" si="41"/>
        <v>46103.90400000001</v>
      </c>
      <c r="X35" s="32">
        <f t="shared" si="41"/>
        <v>55324.684800000003</v>
      </c>
      <c r="Y35" s="32">
        <f t="shared" si="41"/>
        <v>55324.684800000003</v>
      </c>
      <c r="Z35" s="32">
        <f t="shared" si="41"/>
        <v>49792.216320000007</v>
      </c>
      <c r="AA35" s="32">
        <f t="shared" si="41"/>
        <v>47302.605504000006</v>
      </c>
      <c r="AB35" s="32">
        <f t="shared" si="41"/>
        <v>33111.8238528</v>
      </c>
      <c r="AC35" s="17"/>
    </row>
    <row r="36" spans="1:29" ht="18.75" x14ac:dyDescent="0.3">
      <c r="A36" s="46"/>
      <c r="B36" s="31" t="s">
        <v>75</v>
      </c>
      <c r="C36" s="31" t="s">
        <v>65</v>
      </c>
      <c r="D36" s="56">
        <f>D30*0.15</f>
        <v>5625</v>
      </c>
      <c r="E36" s="32">
        <f t="shared" ref="E36:O37" si="42">E30*0.15</f>
        <v>6187.5000000000009</v>
      </c>
      <c r="F36" s="32">
        <f t="shared" si="42"/>
        <v>7115.625</v>
      </c>
      <c r="G36" s="32">
        <f t="shared" si="42"/>
        <v>9250.3125</v>
      </c>
      <c r="H36" s="32">
        <f t="shared" si="42"/>
        <v>14800.500000000004</v>
      </c>
      <c r="I36" s="32">
        <f t="shared" si="42"/>
        <v>29601.000000000007</v>
      </c>
      <c r="J36" s="32">
        <f t="shared" si="42"/>
        <v>29601.000000000007</v>
      </c>
      <c r="K36" s="32">
        <f t="shared" si="42"/>
        <v>29601.000000000007</v>
      </c>
      <c r="L36" s="32">
        <f t="shared" si="42"/>
        <v>26640.900000000005</v>
      </c>
      <c r="M36" s="32">
        <f t="shared" si="42"/>
        <v>21312.720000000001</v>
      </c>
      <c r="N36" s="32">
        <f t="shared" si="42"/>
        <v>19181.448000000004</v>
      </c>
      <c r="O36" s="32">
        <f t="shared" si="42"/>
        <v>16304.230800000005</v>
      </c>
      <c r="P36" s="17"/>
      <c r="Q36" s="32">
        <f t="shared" ref="Q36:AB37" si="43">Q30*0.15</f>
        <v>8437.5</v>
      </c>
      <c r="R36" s="32">
        <f t="shared" si="43"/>
        <v>10125</v>
      </c>
      <c r="S36" s="32">
        <f t="shared" si="43"/>
        <v>14174.999999999998</v>
      </c>
      <c r="T36" s="32">
        <f t="shared" si="43"/>
        <v>15592.5</v>
      </c>
      <c r="U36" s="32">
        <f t="shared" si="43"/>
        <v>21829.5</v>
      </c>
      <c r="V36" s="32">
        <f t="shared" si="43"/>
        <v>39293.1</v>
      </c>
      <c r="W36" s="32">
        <f t="shared" si="43"/>
        <v>43222.41</v>
      </c>
      <c r="X36" s="32">
        <f t="shared" si="43"/>
        <v>51866.892</v>
      </c>
      <c r="Y36" s="32">
        <f t="shared" si="43"/>
        <v>51866.892</v>
      </c>
      <c r="Z36" s="32">
        <f t="shared" si="43"/>
        <v>46680.202799999999</v>
      </c>
      <c r="AA36" s="32">
        <f t="shared" si="43"/>
        <v>44346.192660000001</v>
      </c>
      <c r="AB36" s="32">
        <f t="shared" si="43"/>
        <v>31042.334861999996</v>
      </c>
      <c r="AC36" s="17"/>
    </row>
    <row r="37" spans="1:29" ht="18.75" x14ac:dyDescent="0.3">
      <c r="A37" s="46"/>
      <c r="B37" s="60" t="s">
        <v>84</v>
      </c>
      <c r="C37" s="61" t="s">
        <v>93</v>
      </c>
      <c r="D37" s="56">
        <f>D31*0.15</f>
        <v>12000</v>
      </c>
      <c r="E37" s="32">
        <f t="shared" si="42"/>
        <v>13200.000000000002</v>
      </c>
      <c r="F37" s="32">
        <f t="shared" si="42"/>
        <v>15180.000000000002</v>
      </c>
      <c r="G37" s="32">
        <f t="shared" si="42"/>
        <v>19734.000000000004</v>
      </c>
      <c r="H37" s="32">
        <f t="shared" si="42"/>
        <v>31574.400000000009</v>
      </c>
      <c r="I37" s="32">
        <f t="shared" si="42"/>
        <v>63148.800000000017</v>
      </c>
      <c r="J37" s="32">
        <f t="shared" si="42"/>
        <v>63148.800000000017</v>
      </c>
      <c r="K37" s="32">
        <f t="shared" si="42"/>
        <v>63148.800000000017</v>
      </c>
      <c r="L37" s="32">
        <f t="shared" si="42"/>
        <v>56833.920000000013</v>
      </c>
      <c r="M37" s="32">
        <f t="shared" si="42"/>
        <v>45467.136000000006</v>
      </c>
      <c r="N37" s="32">
        <f t="shared" si="42"/>
        <v>40920.422400000003</v>
      </c>
      <c r="O37" s="32">
        <f t="shared" si="42"/>
        <v>34782.359040000003</v>
      </c>
      <c r="P37" s="17"/>
      <c r="Q37" s="32">
        <f>Q31*0.15</f>
        <v>18000</v>
      </c>
      <c r="R37" s="32">
        <f t="shared" si="43"/>
        <v>21600</v>
      </c>
      <c r="S37" s="32">
        <f t="shared" si="43"/>
        <v>30240</v>
      </c>
      <c r="T37" s="32">
        <f t="shared" si="43"/>
        <v>33264</v>
      </c>
      <c r="U37" s="32">
        <f t="shared" si="43"/>
        <v>46569.600000000006</v>
      </c>
      <c r="V37" s="32">
        <f t="shared" si="43"/>
        <v>83825.280000000013</v>
      </c>
      <c r="W37" s="32">
        <f t="shared" si="43"/>
        <v>92207.808000000034</v>
      </c>
      <c r="X37" s="32">
        <f t="shared" si="43"/>
        <v>110649.36960000003</v>
      </c>
      <c r="Y37" s="32">
        <f t="shared" si="43"/>
        <v>110649.36960000003</v>
      </c>
      <c r="Z37" s="32">
        <f t="shared" si="43"/>
        <v>99584.432640000043</v>
      </c>
      <c r="AA37" s="32">
        <f t="shared" si="43"/>
        <v>94605.211008000028</v>
      </c>
      <c r="AB37" s="32">
        <f t="shared" si="43"/>
        <v>66223.647705600015</v>
      </c>
      <c r="AC37" s="17"/>
    </row>
    <row r="38" spans="1:29" ht="18.75" x14ac:dyDescent="0.3">
      <c r="A38" s="46"/>
      <c r="B38" s="60" t="s">
        <v>99</v>
      </c>
      <c r="C38" s="31" t="s">
        <v>94</v>
      </c>
      <c r="D38" s="56">
        <f>D32*0.25</f>
        <v>5000</v>
      </c>
      <c r="E38" s="32">
        <f t="shared" ref="E38:O38" si="44">E32*0.25</f>
        <v>5500.0000000000009</v>
      </c>
      <c r="F38" s="32">
        <f t="shared" si="44"/>
        <v>6325</v>
      </c>
      <c r="G38" s="32">
        <f t="shared" si="44"/>
        <v>8222.5</v>
      </c>
      <c r="H38" s="32">
        <f t="shared" si="44"/>
        <v>13156.000000000004</v>
      </c>
      <c r="I38" s="32">
        <f t="shared" si="44"/>
        <v>26312.000000000007</v>
      </c>
      <c r="J38" s="32">
        <f t="shared" si="44"/>
        <v>26312.000000000007</v>
      </c>
      <c r="K38" s="32">
        <f t="shared" si="44"/>
        <v>26312.000000000007</v>
      </c>
      <c r="L38" s="32">
        <f t="shared" si="44"/>
        <v>23680.800000000007</v>
      </c>
      <c r="M38" s="32">
        <f t="shared" si="44"/>
        <v>18944.640000000003</v>
      </c>
      <c r="N38" s="32">
        <f t="shared" si="44"/>
        <v>17050.176000000003</v>
      </c>
      <c r="O38" s="32">
        <f t="shared" si="44"/>
        <v>14492.649600000004</v>
      </c>
      <c r="P38" s="17"/>
      <c r="Q38" s="32">
        <f>Q32*0.25</f>
        <v>7500</v>
      </c>
      <c r="R38" s="32">
        <f t="shared" ref="R38:AB38" si="45">R32*0.25</f>
        <v>9000</v>
      </c>
      <c r="S38" s="32">
        <f t="shared" si="45"/>
        <v>12599.999999999998</v>
      </c>
      <c r="T38" s="32">
        <f t="shared" si="45"/>
        <v>13860</v>
      </c>
      <c r="U38" s="32">
        <f t="shared" si="45"/>
        <v>19404</v>
      </c>
      <c r="V38" s="32">
        <f t="shared" si="45"/>
        <v>34927.199999999997</v>
      </c>
      <c r="W38" s="32">
        <f t="shared" si="45"/>
        <v>38419.919999999998</v>
      </c>
      <c r="X38" s="32">
        <f t="shared" si="45"/>
        <v>46103.904000000002</v>
      </c>
      <c r="Y38" s="32">
        <f t="shared" si="45"/>
        <v>46103.904000000002</v>
      </c>
      <c r="Z38" s="32">
        <f t="shared" si="45"/>
        <v>41493.513599999998</v>
      </c>
      <c r="AA38" s="32">
        <f t="shared" si="45"/>
        <v>39418.837919999998</v>
      </c>
      <c r="AB38" s="32">
        <f t="shared" si="45"/>
        <v>27593.186543999997</v>
      </c>
      <c r="AC38" s="17"/>
    </row>
    <row r="39" spans="1:29" s="116" customFormat="1" ht="16.5" customHeight="1" x14ac:dyDescent="0.3">
      <c r="A39" s="113"/>
      <c r="B39" s="114" t="s">
        <v>100</v>
      </c>
      <c r="C39" s="110" t="s">
        <v>85</v>
      </c>
      <c r="D39" s="63">
        <v>0</v>
      </c>
      <c r="E39" s="62">
        <f>I9</f>
        <v>28000</v>
      </c>
      <c r="F39" s="62">
        <f>E39*1.05</f>
        <v>29400</v>
      </c>
      <c r="G39" s="62">
        <f t="shared" ref="G39:O39" si="46">F39*1.05</f>
        <v>30870</v>
      </c>
      <c r="H39" s="62">
        <f t="shared" si="46"/>
        <v>32413.5</v>
      </c>
      <c r="I39" s="62">
        <f t="shared" si="46"/>
        <v>34034.175000000003</v>
      </c>
      <c r="J39" s="62">
        <f t="shared" si="46"/>
        <v>35735.883750000008</v>
      </c>
      <c r="K39" s="62">
        <f t="shared" si="46"/>
        <v>37522.677937500011</v>
      </c>
      <c r="L39" s="62">
        <f t="shared" si="46"/>
        <v>39398.81183437501</v>
      </c>
      <c r="M39" s="62">
        <f t="shared" si="46"/>
        <v>41368.752426093764</v>
      </c>
      <c r="N39" s="62">
        <f t="shared" si="46"/>
        <v>43437.190047398457</v>
      </c>
      <c r="O39" s="62">
        <f t="shared" si="46"/>
        <v>45609.049549768381</v>
      </c>
      <c r="P39" s="115"/>
      <c r="Q39" s="62">
        <f>O39*1.05</f>
        <v>47889.5020272568</v>
      </c>
      <c r="R39" s="62">
        <f>Q39*1.05</f>
        <v>50283.977128619641</v>
      </c>
      <c r="S39" s="62">
        <f t="shared" ref="S39:AB39" si="47">R39*1.05</f>
        <v>52798.175985050628</v>
      </c>
      <c r="T39" s="62">
        <f t="shared" si="47"/>
        <v>55438.084784303159</v>
      </c>
      <c r="U39" s="62">
        <f t="shared" si="47"/>
        <v>58209.989023518319</v>
      </c>
      <c r="V39" s="62">
        <f t="shared" si="47"/>
        <v>61120.488474694241</v>
      </c>
      <c r="W39" s="62">
        <f t="shared" si="47"/>
        <v>64176.512898428955</v>
      </c>
      <c r="X39" s="62">
        <f t="shared" si="47"/>
        <v>67385.338543350401</v>
      </c>
      <c r="Y39" s="62">
        <f t="shared" si="47"/>
        <v>70754.605470517927</v>
      </c>
      <c r="Z39" s="62">
        <f t="shared" si="47"/>
        <v>74292.335744043827</v>
      </c>
      <c r="AA39" s="62">
        <f t="shared" si="47"/>
        <v>78006.952531246017</v>
      </c>
      <c r="AB39" s="62">
        <f t="shared" si="47"/>
        <v>81907.30015780832</v>
      </c>
      <c r="AC39" s="115"/>
    </row>
    <row r="40" spans="1:29" ht="18.75" x14ac:dyDescent="0.3">
      <c r="A40" s="46">
        <v>2</v>
      </c>
      <c r="B40" s="10" t="s">
        <v>25</v>
      </c>
      <c r="C40" s="11"/>
      <c r="D40" s="57">
        <f>SUM(D44:D45,D42)</f>
        <v>28000</v>
      </c>
      <c r="E40" s="33">
        <f t="shared" ref="E40:AB40" si="48">SUM(E44:E45,E42)</f>
        <v>28000</v>
      </c>
      <c r="F40" s="33">
        <f t="shared" si="48"/>
        <v>28000</v>
      </c>
      <c r="G40" s="33">
        <f t="shared" si="48"/>
        <v>28000</v>
      </c>
      <c r="H40" s="33">
        <f t="shared" si="48"/>
        <v>28000</v>
      </c>
      <c r="I40" s="33">
        <f t="shared" si="48"/>
        <v>28000</v>
      </c>
      <c r="J40" s="33">
        <f t="shared" si="48"/>
        <v>66362.896000000008</v>
      </c>
      <c r="K40" s="33">
        <f t="shared" si="48"/>
        <v>66362.896000000008</v>
      </c>
      <c r="L40" s="33">
        <f t="shared" si="48"/>
        <v>62526.606400000011</v>
      </c>
      <c r="M40" s="33">
        <f t="shared" si="48"/>
        <v>55621.285120000015</v>
      </c>
      <c r="N40" s="33">
        <f t="shared" si="48"/>
        <v>52859.156608000005</v>
      </c>
      <c r="O40" s="33">
        <f t="shared" si="48"/>
        <v>49130.283116799998</v>
      </c>
      <c r="P40" s="16">
        <f>SUM(D40:O40)</f>
        <v>520863.12324480002</v>
      </c>
      <c r="Q40" s="33">
        <f t="shared" si="48"/>
        <v>37690</v>
      </c>
      <c r="R40" s="33">
        <f t="shared" si="48"/>
        <v>39628</v>
      </c>
      <c r="S40" s="33">
        <f t="shared" si="48"/>
        <v>44279.199999999997</v>
      </c>
      <c r="T40" s="33">
        <f t="shared" si="48"/>
        <v>45907.119999999995</v>
      </c>
      <c r="U40" s="33">
        <f t="shared" si="48"/>
        <v>53069.967999999993</v>
      </c>
      <c r="V40" s="33">
        <f t="shared" si="48"/>
        <v>73125.9424</v>
      </c>
      <c r="W40" s="33">
        <f t="shared" si="48"/>
        <v>77638.536640000006</v>
      </c>
      <c r="X40" s="33">
        <f t="shared" si="48"/>
        <v>87566.24396800001</v>
      </c>
      <c r="Y40" s="33">
        <f t="shared" si="48"/>
        <v>87566.24396800001</v>
      </c>
      <c r="Z40" s="33">
        <f t="shared" si="48"/>
        <v>81609.619571200004</v>
      </c>
      <c r="AA40" s="33">
        <f t="shared" si="48"/>
        <v>78929.138592640011</v>
      </c>
      <c r="AB40" s="33">
        <f t="shared" si="48"/>
        <v>63650.397014848</v>
      </c>
      <c r="AC40" s="16">
        <f>SUM(Q40:AB40)</f>
        <v>770660.41015468806</v>
      </c>
    </row>
    <row r="41" spans="1:29" ht="18.75" x14ac:dyDescent="0.3">
      <c r="A41" s="46"/>
      <c r="B41" s="34"/>
      <c r="C41" s="4" t="s">
        <v>26</v>
      </c>
      <c r="D41" s="5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17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17"/>
    </row>
    <row r="42" spans="1:29" s="116" customFormat="1" ht="16.5" customHeight="1" x14ac:dyDescent="0.3">
      <c r="A42" s="113"/>
      <c r="B42" s="117" t="s">
        <v>27</v>
      </c>
      <c r="C42" s="110" t="s">
        <v>66</v>
      </c>
      <c r="D42" s="63">
        <f>$I$9</f>
        <v>28000</v>
      </c>
      <c r="E42" s="62">
        <f t="shared" ref="E42:O42" si="49">$I$9</f>
        <v>28000</v>
      </c>
      <c r="F42" s="62">
        <f t="shared" si="49"/>
        <v>28000</v>
      </c>
      <c r="G42" s="62">
        <f t="shared" si="49"/>
        <v>28000</v>
      </c>
      <c r="H42" s="62">
        <f t="shared" si="49"/>
        <v>28000</v>
      </c>
      <c r="I42" s="62">
        <f t="shared" si="49"/>
        <v>28000</v>
      </c>
      <c r="J42" s="62">
        <f t="shared" si="49"/>
        <v>28000</v>
      </c>
      <c r="K42" s="62">
        <f t="shared" si="49"/>
        <v>28000</v>
      </c>
      <c r="L42" s="62">
        <f t="shared" si="49"/>
        <v>28000</v>
      </c>
      <c r="M42" s="62">
        <f t="shared" si="49"/>
        <v>28000</v>
      </c>
      <c r="N42" s="62">
        <f t="shared" si="49"/>
        <v>28000</v>
      </c>
      <c r="O42" s="62">
        <f t="shared" si="49"/>
        <v>28000</v>
      </c>
      <c r="P42" s="115"/>
      <c r="Q42" s="62">
        <f>$O$42</f>
        <v>28000</v>
      </c>
      <c r="R42" s="62">
        <f t="shared" ref="R42:AB42" si="50">$O$42</f>
        <v>28000</v>
      </c>
      <c r="S42" s="62">
        <f t="shared" si="50"/>
        <v>28000</v>
      </c>
      <c r="T42" s="62">
        <f t="shared" si="50"/>
        <v>28000</v>
      </c>
      <c r="U42" s="62">
        <f t="shared" si="50"/>
        <v>28000</v>
      </c>
      <c r="V42" s="62">
        <f t="shared" si="50"/>
        <v>28000</v>
      </c>
      <c r="W42" s="62">
        <f t="shared" si="50"/>
        <v>28000</v>
      </c>
      <c r="X42" s="62">
        <f t="shared" si="50"/>
        <v>28000</v>
      </c>
      <c r="Y42" s="62">
        <f t="shared" si="50"/>
        <v>28000</v>
      </c>
      <c r="Z42" s="62">
        <f t="shared" si="50"/>
        <v>28000</v>
      </c>
      <c r="AA42" s="62">
        <f t="shared" si="50"/>
        <v>28000</v>
      </c>
      <c r="AB42" s="62">
        <f t="shared" si="50"/>
        <v>28000</v>
      </c>
      <c r="AC42" s="115"/>
    </row>
    <row r="43" spans="1:29" ht="18.75" x14ac:dyDescent="0.3">
      <c r="A43" s="46"/>
      <c r="B43" s="31"/>
      <c r="C43" s="31" t="s">
        <v>67</v>
      </c>
      <c r="D43" s="5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17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17"/>
    </row>
    <row r="44" spans="1:29" ht="18.75" x14ac:dyDescent="0.3">
      <c r="A44" s="46"/>
      <c r="B44" s="35" t="s">
        <v>28</v>
      </c>
      <c r="C44" s="31" t="s">
        <v>29</v>
      </c>
      <c r="D44" s="56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f t="shared" ref="J44:O44" si="51">J27*0.03</f>
        <v>38362.896000000001</v>
      </c>
      <c r="K44" s="32">
        <f t="shared" si="51"/>
        <v>38362.896000000001</v>
      </c>
      <c r="L44" s="32">
        <f t="shared" si="51"/>
        <v>34526.606400000011</v>
      </c>
      <c r="M44" s="32">
        <f t="shared" si="51"/>
        <v>27621.285120000011</v>
      </c>
      <c r="N44" s="32">
        <f t="shared" si="51"/>
        <v>24859.156608000005</v>
      </c>
      <c r="O44" s="32">
        <f t="shared" si="51"/>
        <v>21130.283116800001</v>
      </c>
      <c r="P44" s="17"/>
      <c r="Q44" s="32">
        <f>Q27*0.02</f>
        <v>9690</v>
      </c>
      <c r="R44" s="32">
        <f t="shared" ref="R44:AA44" si="52">R27*0.02</f>
        <v>11628</v>
      </c>
      <c r="S44" s="32">
        <f t="shared" si="52"/>
        <v>16279.2</v>
      </c>
      <c r="T44" s="32">
        <f t="shared" si="52"/>
        <v>17907.12</v>
      </c>
      <c r="U44" s="32">
        <f t="shared" si="52"/>
        <v>25069.967999999997</v>
      </c>
      <c r="V44" s="32">
        <f t="shared" si="52"/>
        <v>45125.9424</v>
      </c>
      <c r="W44" s="32">
        <f t="shared" si="52"/>
        <v>49638.536640000006</v>
      </c>
      <c r="X44" s="32">
        <f t="shared" si="52"/>
        <v>59566.24396800001</v>
      </c>
      <c r="Y44" s="32">
        <f t="shared" si="52"/>
        <v>59566.24396800001</v>
      </c>
      <c r="Z44" s="32">
        <f t="shared" si="52"/>
        <v>53609.619571200004</v>
      </c>
      <c r="AA44" s="32">
        <f t="shared" si="52"/>
        <v>50929.138592640011</v>
      </c>
      <c r="AB44" s="32">
        <f>AB27*0.02</f>
        <v>35650.397014848</v>
      </c>
      <c r="AC44" s="17"/>
    </row>
    <row r="45" spans="1:29" ht="18.75" x14ac:dyDescent="0.3">
      <c r="A45" s="46"/>
      <c r="B45" s="34" t="s">
        <v>30</v>
      </c>
      <c r="C45" s="31" t="s">
        <v>31</v>
      </c>
      <c r="D45" s="56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17"/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17"/>
    </row>
    <row r="46" spans="1:29" ht="18.75" x14ac:dyDescent="0.3">
      <c r="A46" s="46">
        <v>3</v>
      </c>
      <c r="B46" s="10" t="s">
        <v>32</v>
      </c>
      <c r="C46" s="11"/>
      <c r="D46" s="57">
        <f>SUM(D48:D50,D52,D54:D57)</f>
        <v>26240</v>
      </c>
      <c r="E46" s="33">
        <f t="shared" ref="E46:O46" si="53">SUM(E48:E50,E52,E54:E57)</f>
        <v>26240</v>
      </c>
      <c r="F46" s="33">
        <f t="shared" si="53"/>
        <v>26240</v>
      </c>
      <c r="G46" s="33">
        <f t="shared" si="53"/>
        <v>26240</v>
      </c>
      <c r="H46" s="33">
        <f t="shared" si="53"/>
        <v>26240</v>
      </c>
      <c r="I46" s="33">
        <f t="shared" si="53"/>
        <v>26240</v>
      </c>
      <c r="J46" s="33">
        <f t="shared" si="53"/>
        <v>26240</v>
      </c>
      <c r="K46" s="33">
        <f t="shared" si="53"/>
        <v>26240</v>
      </c>
      <c r="L46" s="33">
        <f t="shared" si="53"/>
        <v>26240</v>
      </c>
      <c r="M46" s="33">
        <f t="shared" si="53"/>
        <v>26240</v>
      </c>
      <c r="N46" s="33">
        <f t="shared" si="53"/>
        <v>26240</v>
      </c>
      <c r="O46" s="33">
        <f t="shared" si="53"/>
        <v>26240</v>
      </c>
      <c r="P46" s="16">
        <f>SUM(D46:O46)</f>
        <v>314880</v>
      </c>
      <c r="Q46" s="33">
        <f>SUM(Q48:Q50,Q52,Q54:Q57)</f>
        <v>45240</v>
      </c>
      <c r="R46" s="33">
        <f t="shared" ref="R46:AB46" si="54">SUM(R48:R50,R52,R54:R57)</f>
        <v>45240</v>
      </c>
      <c r="S46" s="33">
        <f t="shared" si="54"/>
        <v>45240</v>
      </c>
      <c r="T46" s="33">
        <f t="shared" si="54"/>
        <v>45240</v>
      </c>
      <c r="U46" s="33">
        <f t="shared" si="54"/>
        <v>45240</v>
      </c>
      <c r="V46" s="33">
        <f t="shared" si="54"/>
        <v>45240</v>
      </c>
      <c r="W46" s="33">
        <f t="shared" si="54"/>
        <v>45240</v>
      </c>
      <c r="X46" s="33">
        <f t="shared" si="54"/>
        <v>45240</v>
      </c>
      <c r="Y46" s="33">
        <f t="shared" si="54"/>
        <v>45240</v>
      </c>
      <c r="Z46" s="33">
        <f t="shared" si="54"/>
        <v>45240</v>
      </c>
      <c r="AA46" s="33">
        <f t="shared" si="54"/>
        <v>45240</v>
      </c>
      <c r="AB46" s="33">
        <f t="shared" si="54"/>
        <v>45240</v>
      </c>
      <c r="AC46" s="16">
        <f>SUM(Q46:AB46)</f>
        <v>542880</v>
      </c>
    </row>
    <row r="47" spans="1:29" ht="18.75" x14ac:dyDescent="0.3">
      <c r="A47" s="46"/>
      <c r="B47" s="34" t="s">
        <v>68</v>
      </c>
      <c r="C47" s="4"/>
      <c r="D47" s="56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17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17"/>
    </row>
    <row r="48" spans="1:29" s="116" customFormat="1" ht="18.75" x14ac:dyDescent="0.3">
      <c r="A48" s="113"/>
      <c r="B48" s="61" t="s">
        <v>33</v>
      </c>
      <c r="C48" s="111" t="s">
        <v>69</v>
      </c>
      <c r="D48" s="63">
        <f>$I$6</f>
        <v>10000</v>
      </c>
      <c r="E48" s="62">
        <f t="shared" ref="E48:O48" si="55">$I$6</f>
        <v>10000</v>
      </c>
      <c r="F48" s="62">
        <f t="shared" si="55"/>
        <v>10000</v>
      </c>
      <c r="G48" s="62">
        <f t="shared" si="55"/>
        <v>10000</v>
      </c>
      <c r="H48" s="62">
        <f t="shared" si="55"/>
        <v>10000</v>
      </c>
      <c r="I48" s="62">
        <f t="shared" si="55"/>
        <v>10000</v>
      </c>
      <c r="J48" s="62">
        <f t="shared" si="55"/>
        <v>10000</v>
      </c>
      <c r="K48" s="62">
        <f t="shared" si="55"/>
        <v>10000</v>
      </c>
      <c r="L48" s="62">
        <f t="shared" si="55"/>
        <v>10000</v>
      </c>
      <c r="M48" s="62">
        <f t="shared" si="55"/>
        <v>10000</v>
      </c>
      <c r="N48" s="62">
        <f t="shared" si="55"/>
        <v>10000</v>
      </c>
      <c r="O48" s="62">
        <f t="shared" si="55"/>
        <v>10000</v>
      </c>
      <c r="P48" s="115"/>
      <c r="Q48" s="62">
        <f>$I$6*1.5</f>
        <v>15000</v>
      </c>
      <c r="R48" s="62">
        <f t="shared" ref="R48:AB48" si="56">$I$6*1.5</f>
        <v>15000</v>
      </c>
      <c r="S48" s="62">
        <f t="shared" si="56"/>
        <v>15000</v>
      </c>
      <c r="T48" s="62">
        <f t="shared" si="56"/>
        <v>15000</v>
      </c>
      <c r="U48" s="62">
        <f t="shared" si="56"/>
        <v>15000</v>
      </c>
      <c r="V48" s="62">
        <f t="shared" si="56"/>
        <v>15000</v>
      </c>
      <c r="W48" s="62">
        <f t="shared" si="56"/>
        <v>15000</v>
      </c>
      <c r="X48" s="62">
        <f t="shared" si="56"/>
        <v>15000</v>
      </c>
      <c r="Y48" s="62">
        <f t="shared" si="56"/>
        <v>15000</v>
      </c>
      <c r="Z48" s="62">
        <f t="shared" si="56"/>
        <v>15000</v>
      </c>
      <c r="AA48" s="62">
        <f t="shared" si="56"/>
        <v>15000</v>
      </c>
      <c r="AB48" s="62">
        <f t="shared" si="56"/>
        <v>15000</v>
      </c>
      <c r="AC48" s="115"/>
    </row>
    <row r="49" spans="1:29" s="116" customFormat="1" ht="18.75" x14ac:dyDescent="0.3">
      <c r="A49" s="113"/>
      <c r="B49" s="61" t="s">
        <v>34</v>
      </c>
      <c r="C49" s="110" t="s">
        <v>70</v>
      </c>
      <c r="D49" s="63">
        <f>$I$7</f>
        <v>2000</v>
      </c>
      <c r="E49" s="62">
        <f t="shared" ref="E49:O49" si="57">$I$7</f>
        <v>2000</v>
      </c>
      <c r="F49" s="62">
        <f t="shared" si="57"/>
        <v>2000</v>
      </c>
      <c r="G49" s="62">
        <f t="shared" si="57"/>
        <v>2000</v>
      </c>
      <c r="H49" s="62">
        <f t="shared" si="57"/>
        <v>2000</v>
      </c>
      <c r="I49" s="62">
        <f t="shared" si="57"/>
        <v>2000</v>
      </c>
      <c r="J49" s="62">
        <f t="shared" si="57"/>
        <v>2000</v>
      </c>
      <c r="K49" s="62">
        <f t="shared" si="57"/>
        <v>2000</v>
      </c>
      <c r="L49" s="62">
        <f t="shared" si="57"/>
        <v>2000</v>
      </c>
      <c r="M49" s="62">
        <f t="shared" si="57"/>
        <v>2000</v>
      </c>
      <c r="N49" s="62">
        <f t="shared" si="57"/>
        <v>2000</v>
      </c>
      <c r="O49" s="62">
        <f t="shared" si="57"/>
        <v>2000</v>
      </c>
      <c r="P49" s="115"/>
      <c r="Q49" s="62">
        <f>$I$7*1.5</f>
        <v>3000</v>
      </c>
      <c r="R49" s="62">
        <f t="shared" ref="R49:AB49" si="58">$I$7*1.5</f>
        <v>3000</v>
      </c>
      <c r="S49" s="62">
        <f t="shared" si="58"/>
        <v>3000</v>
      </c>
      <c r="T49" s="62">
        <f t="shared" si="58"/>
        <v>3000</v>
      </c>
      <c r="U49" s="62">
        <f t="shared" si="58"/>
        <v>3000</v>
      </c>
      <c r="V49" s="62">
        <f t="shared" si="58"/>
        <v>3000</v>
      </c>
      <c r="W49" s="62">
        <f t="shared" si="58"/>
        <v>3000</v>
      </c>
      <c r="X49" s="62">
        <f t="shared" si="58"/>
        <v>3000</v>
      </c>
      <c r="Y49" s="62">
        <f t="shared" si="58"/>
        <v>3000</v>
      </c>
      <c r="Z49" s="62">
        <f t="shared" si="58"/>
        <v>3000</v>
      </c>
      <c r="AA49" s="62">
        <f t="shared" si="58"/>
        <v>3000</v>
      </c>
      <c r="AB49" s="62">
        <f t="shared" si="58"/>
        <v>3000</v>
      </c>
      <c r="AC49" s="115"/>
    </row>
    <row r="50" spans="1:29" s="116" customFormat="1" ht="18.75" x14ac:dyDescent="0.3">
      <c r="A50" s="113"/>
      <c r="B50" s="61" t="s">
        <v>35</v>
      </c>
      <c r="C50" s="110" t="s">
        <v>71</v>
      </c>
      <c r="D50" s="63">
        <f>$I$8</f>
        <v>5000</v>
      </c>
      <c r="E50" s="62">
        <f t="shared" ref="E50:O50" si="59">$I$8</f>
        <v>5000</v>
      </c>
      <c r="F50" s="62">
        <f t="shared" si="59"/>
        <v>5000</v>
      </c>
      <c r="G50" s="62">
        <f t="shared" si="59"/>
        <v>5000</v>
      </c>
      <c r="H50" s="62">
        <f t="shared" si="59"/>
        <v>5000</v>
      </c>
      <c r="I50" s="62">
        <f t="shared" si="59"/>
        <v>5000</v>
      </c>
      <c r="J50" s="62">
        <f t="shared" si="59"/>
        <v>5000</v>
      </c>
      <c r="K50" s="62">
        <f t="shared" si="59"/>
        <v>5000</v>
      </c>
      <c r="L50" s="62">
        <f t="shared" si="59"/>
        <v>5000</v>
      </c>
      <c r="M50" s="62">
        <f t="shared" si="59"/>
        <v>5000</v>
      </c>
      <c r="N50" s="62">
        <f t="shared" si="59"/>
        <v>5000</v>
      </c>
      <c r="O50" s="62">
        <f t="shared" si="59"/>
        <v>5000</v>
      </c>
      <c r="P50" s="115"/>
      <c r="Q50" s="62">
        <f>$I$8*2</f>
        <v>10000</v>
      </c>
      <c r="R50" s="62">
        <f t="shared" ref="R50:AB50" si="60">$I$8*2</f>
        <v>10000</v>
      </c>
      <c r="S50" s="62">
        <f t="shared" si="60"/>
        <v>10000</v>
      </c>
      <c r="T50" s="62">
        <f t="shared" si="60"/>
        <v>10000</v>
      </c>
      <c r="U50" s="62">
        <f t="shared" si="60"/>
        <v>10000</v>
      </c>
      <c r="V50" s="62">
        <f t="shared" si="60"/>
        <v>10000</v>
      </c>
      <c r="W50" s="62">
        <f t="shared" si="60"/>
        <v>10000</v>
      </c>
      <c r="X50" s="62">
        <f t="shared" si="60"/>
        <v>10000</v>
      </c>
      <c r="Y50" s="62">
        <f t="shared" si="60"/>
        <v>10000</v>
      </c>
      <c r="Z50" s="62">
        <f t="shared" si="60"/>
        <v>10000</v>
      </c>
      <c r="AA50" s="62">
        <f t="shared" si="60"/>
        <v>10000</v>
      </c>
      <c r="AB50" s="62">
        <f t="shared" si="60"/>
        <v>10000</v>
      </c>
      <c r="AC50" s="115"/>
    </row>
    <row r="51" spans="1:29" ht="18.75" x14ac:dyDescent="0.3">
      <c r="A51" s="46"/>
      <c r="B51" s="34" t="s">
        <v>7</v>
      </c>
      <c r="C51" s="4"/>
      <c r="D51" s="56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17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7"/>
    </row>
    <row r="52" spans="1:29" s="116" customFormat="1" ht="18.75" x14ac:dyDescent="0.3">
      <c r="A52" s="113"/>
      <c r="B52" s="61" t="s">
        <v>36</v>
      </c>
      <c r="C52" s="110" t="s">
        <v>37</v>
      </c>
      <c r="D52" s="63">
        <f>$I$10</f>
        <v>5000</v>
      </c>
      <c r="E52" s="62">
        <f t="shared" ref="E52:O52" si="61">$I$10</f>
        <v>5000</v>
      </c>
      <c r="F52" s="62">
        <f t="shared" si="61"/>
        <v>5000</v>
      </c>
      <c r="G52" s="62">
        <f t="shared" si="61"/>
        <v>5000</v>
      </c>
      <c r="H52" s="62">
        <f t="shared" si="61"/>
        <v>5000</v>
      </c>
      <c r="I52" s="62">
        <f t="shared" si="61"/>
        <v>5000</v>
      </c>
      <c r="J52" s="62">
        <f t="shared" si="61"/>
        <v>5000</v>
      </c>
      <c r="K52" s="62">
        <f t="shared" si="61"/>
        <v>5000</v>
      </c>
      <c r="L52" s="62">
        <f t="shared" si="61"/>
        <v>5000</v>
      </c>
      <c r="M52" s="62">
        <f t="shared" si="61"/>
        <v>5000</v>
      </c>
      <c r="N52" s="62">
        <f t="shared" si="61"/>
        <v>5000</v>
      </c>
      <c r="O52" s="62">
        <f t="shared" si="61"/>
        <v>5000</v>
      </c>
      <c r="P52" s="115"/>
      <c r="Q52" s="62">
        <v>11000</v>
      </c>
      <c r="R52" s="62">
        <v>11000</v>
      </c>
      <c r="S52" s="62">
        <v>11000</v>
      </c>
      <c r="T52" s="62">
        <v>11000</v>
      </c>
      <c r="U52" s="62">
        <v>11000</v>
      </c>
      <c r="V52" s="62">
        <v>11000</v>
      </c>
      <c r="W52" s="62">
        <v>11000</v>
      </c>
      <c r="X52" s="62">
        <v>11000</v>
      </c>
      <c r="Y52" s="62">
        <v>11000</v>
      </c>
      <c r="Z52" s="62">
        <v>11000</v>
      </c>
      <c r="AA52" s="62">
        <v>11000</v>
      </c>
      <c r="AB52" s="62">
        <v>11000</v>
      </c>
      <c r="AC52" s="115"/>
    </row>
    <row r="53" spans="1:29" ht="18.75" x14ac:dyDescent="0.3">
      <c r="A53" s="46"/>
      <c r="B53" s="34" t="s">
        <v>38</v>
      </c>
      <c r="C53" s="6"/>
      <c r="D53" s="56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17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7"/>
    </row>
    <row r="54" spans="1:29" ht="18.75" x14ac:dyDescent="0.3">
      <c r="A54" s="46"/>
      <c r="B54" s="31" t="s">
        <v>39</v>
      </c>
      <c r="C54" s="31" t="s">
        <v>40</v>
      </c>
      <c r="D54" s="56">
        <v>250</v>
      </c>
      <c r="E54" s="32">
        <v>250</v>
      </c>
      <c r="F54" s="32">
        <v>250</v>
      </c>
      <c r="G54" s="32">
        <v>250</v>
      </c>
      <c r="H54" s="32">
        <v>250</v>
      </c>
      <c r="I54" s="32">
        <v>250</v>
      </c>
      <c r="J54" s="32">
        <v>250</v>
      </c>
      <c r="K54" s="32">
        <v>250</v>
      </c>
      <c r="L54" s="32">
        <v>250</v>
      </c>
      <c r="M54" s="32">
        <v>250</v>
      </c>
      <c r="N54" s="32">
        <v>250</v>
      </c>
      <c r="O54" s="32">
        <v>250</v>
      </c>
      <c r="P54" s="17"/>
      <c r="Q54" s="32">
        <v>250</v>
      </c>
      <c r="R54" s="32">
        <v>250</v>
      </c>
      <c r="S54" s="32">
        <v>250</v>
      </c>
      <c r="T54" s="32">
        <v>250</v>
      </c>
      <c r="U54" s="32">
        <v>250</v>
      </c>
      <c r="V54" s="32">
        <v>250</v>
      </c>
      <c r="W54" s="32">
        <v>250</v>
      </c>
      <c r="X54" s="32">
        <v>250</v>
      </c>
      <c r="Y54" s="32">
        <v>250</v>
      </c>
      <c r="Z54" s="32">
        <v>250</v>
      </c>
      <c r="AA54" s="32">
        <v>250</v>
      </c>
      <c r="AB54" s="32">
        <v>250</v>
      </c>
      <c r="AC54" s="17"/>
    </row>
    <row r="55" spans="1:29" ht="18.75" x14ac:dyDescent="0.3">
      <c r="A55" s="46"/>
      <c r="B55" s="31" t="s">
        <v>41</v>
      </c>
      <c r="C55" s="31" t="s">
        <v>42</v>
      </c>
      <c r="D55" s="56">
        <v>1490</v>
      </c>
      <c r="E55" s="32">
        <v>1490</v>
      </c>
      <c r="F55" s="32">
        <v>1490</v>
      </c>
      <c r="G55" s="32">
        <v>1490</v>
      </c>
      <c r="H55" s="32">
        <v>1490</v>
      </c>
      <c r="I55" s="32">
        <v>1490</v>
      </c>
      <c r="J55" s="32">
        <v>1490</v>
      </c>
      <c r="K55" s="32">
        <v>1490</v>
      </c>
      <c r="L55" s="32">
        <v>1490</v>
      </c>
      <c r="M55" s="32">
        <v>1490</v>
      </c>
      <c r="N55" s="32">
        <v>1490</v>
      </c>
      <c r="O55" s="32">
        <v>1490</v>
      </c>
      <c r="P55" s="17"/>
      <c r="Q55" s="32">
        <v>1490</v>
      </c>
      <c r="R55" s="32">
        <v>1490</v>
      </c>
      <c r="S55" s="32">
        <v>1490</v>
      </c>
      <c r="T55" s="32">
        <v>1490</v>
      </c>
      <c r="U55" s="32">
        <v>1490</v>
      </c>
      <c r="V55" s="32">
        <v>1490</v>
      </c>
      <c r="W55" s="32">
        <v>1490</v>
      </c>
      <c r="X55" s="32">
        <v>1490</v>
      </c>
      <c r="Y55" s="32">
        <v>1490</v>
      </c>
      <c r="Z55" s="32">
        <v>1490</v>
      </c>
      <c r="AA55" s="32">
        <v>1490</v>
      </c>
      <c r="AB55" s="32">
        <v>1490</v>
      </c>
      <c r="AC55" s="17"/>
    </row>
    <row r="56" spans="1:29" s="116" customFormat="1" ht="18.75" x14ac:dyDescent="0.3">
      <c r="A56" s="113"/>
      <c r="B56" s="61" t="s">
        <v>43</v>
      </c>
      <c r="C56" s="110" t="s">
        <v>44</v>
      </c>
      <c r="D56" s="63">
        <f>$I$11</f>
        <v>500</v>
      </c>
      <c r="E56" s="62">
        <f t="shared" ref="E56:O56" si="62">$I$11</f>
        <v>500</v>
      </c>
      <c r="F56" s="62">
        <f t="shared" si="62"/>
        <v>500</v>
      </c>
      <c r="G56" s="62">
        <f t="shared" si="62"/>
        <v>500</v>
      </c>
      <c r="H56" s="62">
        <f t="shared" si="62"/>
        <v>500</v>
      </c>
      <c r="I56" s="62">
        <f t="shared" si="62"/>
        <v>500</v>
      </c>
      <c r="J56" s="62">
        <f t="shared" si="62"/>
        <v>500</v>
      </c>
      <c r="K56" s="62">
        <f t="shared" si="62"/>
        <v>500</v>
      </c>
      <c r="L56" s="62">
        <f t="shared" si="62"/>
        <v>500</v>
      </c>
      <c r="M56" s="62">
        <f t="shared" si="62"/>
        <v>500</v>
      </c>
      <c r="N56" s="62">
        <f t="shared" si="62"/>
        <v>500</v>
      </c>
      <c r="O56" s="62">
        <f t="shared" si="62"/>
        <v>500</v>
      </c>
      <c r="P56" s="115"/>
      <c r="Q56" s="62">
        <f>$O$56</f>
        <v>500</v>
      </c>
      <c r="R56" s="62">
        <f t="shared" ref="R56:AB56" si="63">$O$56</f>
        <v>500</v>
      </c>
      <c r="S56" s="62">
        <f t="shared" si="63"/>
        <v>500</v>
      </c>
      <c r="T56" s="62">
        <f t="shared" si="63"/>
        <v>500</v>
      </c>
      <c r="U56" s="62">
        <f t="shared" si="63"/>
        <v>500</v>
      </c>
      <c r="V56" s="62">
        <f t="shared" si="63"/>
        <v>500</v>
      </c>
      <c r="W56" s="62">
        <f t="shared" si="63"/>
        <v>500</v>
      </c>
      <c r="X56" s="62">
        <f t="shared" si="63"/>
        <v>500</v>
      </c>
      <c r="Y56" s="62">
        <f t="shared" si="63"/>
        <v>500</v>
      </c>
      <c r="Z56" s="62">
        <f t="shared" si="63"/>
        <v>500</v>
      </c>
      <c r="AA56" s="62">
        <f t="shared" si="63"/>
        <v>500</v>
      </c>
      <c r="AB56" s="62">
        <f t="shared" si="63"/>
        <v>500</v>
      </c>
      <c r="AC56" s="115"/>
    </row>
    <row r="57" spans="1:29" s="116" customFormat="1" ht="18.75" x14ac:dyDescent="0.3">
      <c r="A57" s="113"/>
      <c r="B57" s="118" t="s">
        <v>86</v>
      </c>
      <c r="C57" s="110" t="s">
        <v>87</v>
      </c>
      <c r="D57" s="63">
        <f>$I$12</f>
        <v>2000</v>
      </c>
      <c r="E57" s="62">
        <f t="shared" ref="E57:O57" si="64">$I$12</f>
        <v>2000</v>
      </c>
      <c r="F57" s="62">
        <f t="shared" si="64"/>
        <v>2000</v>
      </c>
      <c r="G57" s="62">
        <f t="shared" si="64"/>
        <v>2000</v>
      </c>
      <c r="H57" s="62">
        <f t="shared" si="64"/>
        <v>2000</v>
      </c>
      <c r="I57" s="62">
        <f t="shared" si="64"/>
        <v>2000</v>
      </c>
      <c r="J57" s="62">
        <f t="shared" si="64"/>
        <v>2000</v>
      </c>
      <c r="K57" s="62">
        <f t="shared" si="64"/>
        <v>2000</v>
      </c>
      <c r="L57" s="62">
        <f t="shared" si="64"/>
        <v>2000</v>
      </c>
      <c r="M57" s="62">
        <f t="shared" si="64"/>
        <v>2000</v>
      </c>
      <c r="N57" s="62">
        <f t="shared" si="64"/>
        <v>2000</v>
      </c>
      <c r="O57" s="62">
        <f t="shared" si="64"/>
        <v>2000</v>
      </c>
      <c r="P57" s="115"/>
      <c r="Q57" s="62">
        <f>$O$57*2</f>
        <v>4000</v>
      </c>
      <c r="R57" s="62">
        <f t="shared" ref="R57:AB57" si="65">$O$57*2</f>
        <v>4000</v>
      </c>
      <c r="S57" s="62">
        <f t="shared" si="65"/>
        <v>4000</v>
      </c>
      <c r="T57" s="62">
        <f t="shared" si="65"/>
        <v>4000</v>
      </c>
      <c r="U57" s="62">
        <f t="shared" si="65"/>
        <v>4000</v>
      </c>
      <c r="V57" s="62">
        <f t="shared" si="65"/>
        <v>4000</v>
      </c>
      <c r="W57" s="62">
        <f t="shared" si="65"/>
        <v>4000</v>
      </c>
      <c r="X57" s="62">
        <f t="shared" si="65"/>
        <v>4000</v>
      </c>
      <c r="Y57" s="62">
        <f t="shared" si="65"/>
        <v>4000</v>
      </c>
      <c r="Z57" s="62">
        <f t="shared" si="65"/>
        <v>4000</v>
      </c>
      <c r="AA57" s="62">
        <f t="shared" si="65"/>
        <v>4000</v>
      </c>
      <c r="AB57" s="62">
        <f t="shared" si="65"/>
        <v>4000</v>
      </c>
      <c r="AC57" s="115"/>
    </row>
    <row r="58" spans="1:29" ht="18.75" x14ac:dyDescent="0.3">
      <c r="A58" s="46">
        <v>4</v>
      </c>
      <c r="B58" s="10" t="s">
        <v>83</v>
      </c>
      <c r="C58" s="11"/>
      <c r="D58" s="55">
        <f>D59</f>
        <v>3297</v>
      </c>
      <c r="E58" s="30">
        <f t="shared" ref="E58:AB58" si="66">E59</f>
        <v>5306.7</v>
      </c>
      <c r="F58" s="30">
        <f t="shared" si="66"/>
        <v>5934.7049999999999</v>
      </c>
      <c r="G58" s="30">
        <f t="shared" si="66"/>
        <v>7274.1165000000001</v>
      </c>
      <c r="H58" s="30">
        <f t="shared" si="66"/>
        <v>10619.876399999999</v>
      </c>
      <c r="I58" s="30">
        <f t="shared" si="66"/>
        <v>19392.183300000001</v>
      </c>
      <c r="J58" s="30">
        <f t="shared" si="66"/>
        <v>19494.285825000003</v>
      </c>
      <c r="K58" s="30">
        <f t="shared" si="66"/>
        <v>19601.493476250002</v>
      </c>
      <c r="L58" s="30">
        <f t="shared" si="66"/>
        <v>17979.048230062501</v>
      </c>
      <c r="M58" s="30">
        <f t="shared" si="66"/>
        <v>14974.220761565628</v>
      </c>
      <c r="N58" s="30">
        <f t="shared" si="66"/>
        <v>13849.117457243909</v>
      </c>
      <c r="O58" s="30">
        <f t="shared" si="66"/>
        <v>12292.996119226105</v>
      </c>
      <c r="P58" s="16">
        <f>SUM(D58:O58)</f>
        <v>150015.74306934813</v>
      </c>
      <c r="Q58" s="30">
        <f t="shared" si="66"/>
        <v>7818.8701216354075</v>
      </c>
      <c r="R58" s="30">
        <f t="shared" si="66"/>
        <v>8951.6386277171787</v>
      </c>
      <c r="S58" s="30">
        <f t="shared" si="66"/>
        <v>11476.330559103037</v>
      </c>
      <c r="T58" s="30">
        <f t="shared" si="66"/>
        <v>12465.569087058188</v>
      </c>
      <c r="U58" s="30">
        <f t="shared" si="66"/>
        <v>16287.596941411097</v>
      </c>
      <c r="V58" s="30">
        <f t="shared" si="66"/>
        <v>26698.224988481656</v>
      </c>
      <c r="W58" s="30">
        <f t="shared" si="66"/>
        <v>29184.686021905738</v>
      </c>
      <c r="X58" s="30">
        <f t="shared" si="66"/>
        <v>34444.034610201023</v>
      </c>
      <c r="Y58" s="30">
        <f t="shared" si="66"/>
        <v>34646.190625831077</v>
      </c>
      <c r="Z58" s="30">
        <f t="shared" si="66"/>
        <v>31818.36301248263</v>
      </c>
      <c r="AA58" s="30">
        <f t="shared" si="66"/>
        <v>30673.198876322764</v>
      </c>
      <c r="AB58" s="30">
        <f t="shared" si="66"/>
        <v>23109.385216582094</v>
      </c>
      <c r="AC58" s="16">
        <f>SUM(Q58:AB58)</f>
        <v>267574.08868873189</v>
      </c>
    </row>
    <row r="59" spans="1:29" ht="19.5" thickBot="1" x14ac:dyDescent="0.35">
      <c r="A59" s="46"/>
      <c r="B59" s="36">
        <v>4.0999999999999996</v>
      </c>
      <c r="C59" s="31" t="s">
        <v>76</v>
      </c>
      <c r="D59" s="56">
        <f t="shared" ref="D59:O59" si="67">D33*0.06</f>
        <v>3297</v>
      </c>
      <c r="E59" s="32">
        <f t="shared" si="67"/>
        <v>5306.7</v>
      </c>
      <c r="F59" s="32">
        <f t="shared" si="67"/>
        <v>5934.7049999999999</v>
      </c>
      <c r="G59" s="32">
        <f t="shared" si="67"/>
        <v>7274.1165000000001</v>
      </c>
      <c r="H59" s="32">
        <f t="shared" si="67"/>
        <v>10619.876399999999</v>
      </c>
      <c r="I59" s="32">
        <f t="shared" si="67"/>
        <v>19392.183300000001</v>
      </c>
      <c r="J59" s="32">
        <f t="shared" si="67"/>
        <v>19494.285825000003</v>
      </c>
      <c r="K59" s="32">
        <f t="shared" si="67"/>
        <v>19601.493476250002</v>
      </c>
      <c r="L59" s="32">
        <f t="shared" si="67"/>
        <v>17979.048230062501</v>
      </c>
      <c r="M59" s="32">
        <f t="shared" si="67"/>
        <v>14974.220761565628</v>
      </c>
      <c r="N59" s="32">
        <f t="shared" si="67"/>
        <v>13849.117457243909</v>
      </c>
      <c r="O59" s="32">
        <f t="shared" si="67"/>
        <v>12292.996119226105</v>
      </c>
      <c r="P59" s="17"/>
      <c r="Q59" s="32">
        <f t="shared" ref="Q59:AB59" si="68">Q33*0.06</f>
        <v>7818.8701216354075</v>
      </c>
      <c r="R59" s="32">
        <f t="shared" si="68"/>
        <v>8951.6386277171787</v>
      </c>
      <c r="S59" s="32">
        <f t="shared" si="68"/>
        <v>11476.330559103037</v>
      </c>
      <c r="T59" s="32">
        <f t="shared" si="68"/>
        <v>12465.569087058188</v>
      </c>
      <c r="U59" s="32">
        <f t="shared" si="68"/>
        <v>16287.596941411097</v>
      </c>
      <c r="V59" s="32">
        <f t="shared" si="68"/>
        <v>26698.224988481656</v>
      </c>
      <c r="W59" s="32">
        <f t="shared" si="68"/>
        <v>29184.686021905738</v>
      </c>
      <c r="X59" s="32">
        <f t="shared" si="68"/>
        <v>34444.034610201023</v>
      </c>
      <c r="Y59" s="32">
        <f t="shared" si="68"/>
        <v>34646.190625831077</v>
      </c>
      <c r="Z59" s="32">
        <f t="shared" si="68"/>
        <v>31818.36301248263</v>
      </c>
      <c r="AA59" s="32">
        <f t="shared" si="68"/>
        <v>30673.198876322764</v>
      </c>
      <c r="AB59" s="32">
        <f t="shared" si="68"/>
        <v>23109.385216582094</v>
      </c>
      <c r="AC59" s="17"/>
    </row>
    <row r="60" spans="1:29" ht="19.5" thickBot="1" x14ac:dyDescent="0.35">
      <c r="A60" s="46"/>
      <c r="B60" s="7" t="s">
        <v>45</v>
      </c>
      <c r="C60" s="8"/>
      <c r="D60" s="58">
        <f t="shared" ref="D60:O60" si="69">D33-SUM(D40,D46,D59)</f>
        <v>-2587</v>
      </c>
      <c r="E60" s="37">
        <f t="shared" si="69"/>
        <v>28898.300000000003</v>
      </c>
      <c r="F60" s="37">
        <f t="shared" si="69"/>
        <v>38737.044999999998</v>
      </c>
      <c r="G60" s="37">
        <f t="shared" si="69"/>
        <v>59721.158500000005</v>
      </c>
      <c r="H60" s="37">
        <f t="shared" si="69"/>
        <v>112138.06359999999</v>
      </c>
      <c r="I60" s="37">
        <f t="shared" si="69"/>
        <v>249570.87169999999</v>
      </c>
      <c r="J60" s="37">
        <f t="shared" si="69"/>
        <v>212807.58192500003</v>
      </c>
      <c r="K60" s="37">
        <f t="shared" si="69"/>
        <v>214487.16846125</v>
      </c>
      <c r="L60" s="37">
        <f t="shared" si="69"/>
        <v>192905.14920431253</v>
      </c>
      <c r="M60" s="37">
        <f t="shared" si="69"/>
        <v>152734.84014452819</v>
      </c>
      <c r="N60" s="37">
        <f t="shared" si="69"/>
        <v>137870.35022215458</v>
      </c>
      <c r="O60" s="37">
        <f t="shared" si="69"/>
        <v>117219.98941774233</v>
      </c>
      <c r="P60" s="19">
        <f>SUM(D60:O60)</f>
        <v>1514503.5181749875</v>
      </c>
      <c r="Q60" s="37">
        <f t="shared" ref="Q60:AB60" si="70">Q33-SUM(Q40,Q46,Q59)</f>
        <v>39565.631905621383</v>
      </c>
      <c r="R60" s="37">
        <f t="shared" si="70"/>
        <v>55374.338500902464</v>
      </c>
      <c r="S60" s="37">
        <f t="shared" si="70"/>
        <v>90276.645425947587</v>
      </c>
      <c r="T60" s="37">
        <f t="shared" si="70"/>
        <v>104146.79569724496</v>
      </c>
      <c r="U60" s="37">
        <f t="shared" si="70"/>
        <v>156862.38408210722</v>
      </c>
      <c r="V60" s="37">
        <f t="shared" si="70"/>
        <v>299906.2490862126</v>
      </c>
      <c r="W60" s="37">
        <f t="shared" si="70"/>
        <v>334348.21103652322</v>
      </c>
      <c r="X60" s="37">
        <f t="shared" si="70"/>
        <v>406816.9649251494</v>
      </c>
      <c r="Y60" s="37">
        <f t="shared" si="70"/>
        <v>409984.07583668688</v>
      </c>
      <c r="Z60" s="37">
        <f t="shared" si="70"/>
        <v>371638.06762436125</v>
      </c>
      <c r="AA60" s="37">
        <f t="shared" si="70"/>
        <v>356377.64380308334</v>
      </c>
      <c r="AB60" s="37">
        <f t="shared" si="70"/>
        <v>253156.63804493818</v>
      </c>
      <c r="AC60" s="19">
        <f>SUM(Q60:AB60)</f>
        <v>2878453.6459687785</v>
      </c>
    </row>
    <row r="61" spans="1:29" x14ac:dyDescent="0.25">
      <c r="A61" s="46"/>
      <c r="B61" s="4"/>
      <c r="C61" s="4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2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38"/>
    </row>
    <row r="62" spans="1:29" x14ac:dyDescent="0.25">
      <c r="A62" s="46"/>
      <c r="B62" s="4"/>
      <c r="C62" s="4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1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38"/>
    </row>
    <row r="63" spans="1:29" x14ac:dyDescent="0.25">
      <c r="A63" s="46">
        <v>5</v>
      </c>
      <c r="B63" s="39" t="s">
        <v>46</v>
      </c>
      <c r="C63" s="39"/>
      <c r="D63" s="5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2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1"/>
    </row>
    <row r="64" spans="1:29" x14ac:dyDescent="0.25">
      <c r="A64" s="46"/>
      <c r="B64" s="4" t="s">
        <v>47</v>
      </c>
      <c r="C64" s="4"/>
      <c r="D64" s="56">
        <f>M5</f>
        <v>200000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1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38"/>
    </row>
    <row r="65" spans="1:29" x14ac:dyDescent="0.25">
      <c r="A65" s="46"/>
      <c r="B65" s="4" t="s">
        <v>77</v>
      </c>
      <c r="C65" s="4"/>
      <c r="D65" s="5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1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38"/>
    </row>
    <row r="66" spans="1:29" ht="30.75" customHeight="1" x14ac:dyDescent="0.25">
      <c r="A66" s="46"/>
      <c r="B66" s="4"/>
      <c r="C66" s="49" t="s">
        <v>88</v>
      </c>
      <c r="D66" s="56">
        <f>M6</f>
        <v>42000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1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38"/>
    </row>
    <row r="67" spans="1:29" x14ac:dyDescent="0.25">
      <c r="A67" s="46"/>
      <c r="B67" s="4"/>
      <c r="C67" s="48" t="s">
        <v>101</v>
      </c>
      <c r="D67" s="56">
        <f>M7</f>
        <v>20000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1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38"/>
    </row>
    <row r="68" spans="1:29" x14ac:dyDescent="0.25">
      <c r="A68" s="46"/>
      <c r="B68" s="4"/>
      <c r="C68" s="50" t="s">
        <v>48</v>
      </c>
      <c r="D68" s="56">
        <f>SUM(D64,D66,D67)</f>
        <v>262000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1"/>
      <c r="Q68" s="42">
        <f>D68+O72</f>
        <v>1514503.5181749875</v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38"/>
    </row>
    <row r="69" spans="1:29" ht="15.75" thickBot="1" x14ac:dyDescent="0.3">
      <c r="A69" s="46"/>
      <c r="B69" s="4"/>
      <c r="C69" s="4"/>
      <c r="D69" s="5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1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38"/>
    </row>
    <row r="70" spans="1:29" ht="19.5" thickBot="1" x14ac:dyDescent="0.3">
      <c r="A70" s="46">
        <v>6</v>
      </c>
      <c r="B70" s="20" t="s">
        <v>80</v>
      </c>
      <c r="C70" s="20"/>
      <c r="D70" s="131">
        <f>P60/D68</f>
        <v>5.7805477792938458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3"/>
      <c r="Q70" s="132">
        <f>AC60/Q68</f>
        <v>1.9005922478393336</v>
      </c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3"/>
    </row>
    <row r="71" spans="1:29" x14ac:dyDescent="0.25">
      <c r="A71" s="46"/>
      <c r="B71" s="4"/>
      <c r="C71" s="4"/>
      <c r="D71" s="5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2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38"/>
    </row>
    <row r="72" spans="1:29" x14ac:dyDescent="0.25">
      <c r="A72" s="46">
        <v>7</v>
      </c>
      <c r="B72" s="87" t="s">
        <v>49</v>
      </c>
      <c r="C72" s="92">
        <f>0-D68</f>
        <v>-262000</v>
      </c>
      <c r="D72" s="88">
        <f>C72+D60</f>
        <v>-264587</v>
      </c>
      <c r="E72" s="88">
        <f t="shared" ref="E72:AA72" si="71">D72+E60</f>
        <v>-235688.7</v>
      </c>
      <c r="F72" s="88">
        <f>E72+F60</f>
        <v>-196951.65500000003</v>
      </c>
      <c r="G72" s="88">
        <f t="shared" si="71"/>
        <v>-137230.49650000001</v>
      </c>
      <c r="H72" s="88">
        <f t="shared" si="71"/>
        <v>-25092.432900000014</v>
      </c>
      <c r="I72" s="88">
        <f t="shared" si="71"/>
        <v>224478.43879999997</v>
      </c>
      <c r="J72" s="88">
        <f t="shared" si="71"/>
        <v>437286.02072500001</v>
      </c>
      <c r="K72" s="88">
        <f t="shared" si="71"/>
        <v>651773.18918624998</v>
      </c>
      <c r="L72" s="88">
        <f t="shared" si="71"/>
        <v>844678.33839056245</v>
      </c>
      <c r="M72" s="88">
        <f t="shared" si="71"/>
        <v>997413.17853509064</v>
      </c>
      <c r="N72" s="88">
        <f t="shared" si="71"/>
        <v>1135283.5287572453</v>
      </c>
      <c r="O72" s="88">
        <f t="shared" si="71"/>
        <v>1252503.5181749875</v>
      </c>
      <c r="P72" s="89"/>
      <c r="Q72" s="88">
        <f>O72+Q60</f>
        <v>1292069.1500806089</v>
      </c>
      <c r="R72" s="88">
        <f t="shared" si="71"/>
        <v>1347443.4885815114</v>
      </c>
      <c r="S72" s="88">
        <f t="shared" si="71"/>
        <v>1437720.134007459</v>
      </c>
      <c r="T72" s="88">
        <f t="shared" si="71"/>
        <v>1541866.9297047041</v>
      </c>
      <c r="U72" s="88">
        <f t="shared" si="71"/>
        <v>1698729.3137868112</v>
      </c>
      <c r="V72" s="88">
        <f t="shared" si="71"/>
        <v>1998635.5628730238</v>
      </c>
      <c r="W72" s="88">
        <f t="shared" si="71"/>
        <v>2332983.7739095469</v>
      </c>
      <c r="X72" s="88">
        <f t="shared" si="71"/>
        <v>2739800.7388346964</v>
      </c>
      <c r="Y72" s="88">
        <f t="shared" si="71"/>
        <v>3149784.8146713832</v>
      </c>
      <c r="Z72" s="88">
        <f t="shared" si="71"/>
        <v>3521422.8822957445</v>
      </c>
      <c r="AA72" s="88">
        <f t="shared" si="71"/>
        <v>3877800.5260988278</v>
      </c>
      <c r="AB72" s="88">
        <f>AA72+AB60</f>
        <v>4130957.1641437658</v>
      </c>
      <c r="AC72" s="38"/>
    </row>
    <row r="73" spans="1:29" ht="15.75" thickBot="1" x14ac:dyDescent="0.3">
      <c r="A73" s="91"/>
      <c r="B73" s="43" t="s">
        <v>106</v>
      </c>
      <c r="C73" s="93">
        <f t="shared" ref="C73:O73" si="72" xml:space="preserve"> (C72 + $D68) / $D68</f>
        <v>0</v>
      </c>
      <c r="D73" s="90">
        <f t="shared" si="72"/>
        <v>-9.874045801526718E-3</v>
      </c>
      <c r="E73" s="90">
        <f t="shared" si="72"/>
        <v>0.1004248091603053</v>
      </c>
      <c r="F73" s="90">
        <f t="shared" si="72"/>
        <v>0.24827612595419837</v>
      </c>
      <c r="G73" s="90">
        <f t="shared" si="72"/>
        <v>0.47621947900763356</v>
      </c>
      <c r="H73" s="90">
        <f t="shared" si="72"/>
        <v>0.9042273553435114</v>
      </c>
      <c r="I73" s="90">
        <f t="shared" si="72"/>
        <v>1.8567879343511451</v>
      </c>
      <c r="J73" s="90">
        <f t="shared" si="72"/>
        <v>2.6690306134541983</v>
      </c>
      <c r="K73" s="90">
        <f t="shared" si="72"/>
        <v>3.4876839281917937</v>
      </c>
      <c r="L73" s="90">
        <f t="shared" si="72"/>
        <v>4.223963123628101</v>
      </c>
      <c r="M73" s="90">
        <f t="shared" si="72"/>
        <v>4.8069205287598882</v>
      </c>
      <c r="N73" s="90">
        <f t="shared" si="72"/>
        <v>5.3331432395314708</v>
      </c>
      <c r="O73" s="90">
        <f t="shared" si="72"/>
        <v>5.7805477792938458</v>
      </c>
      <c r="P73" s="94"/>
      <c r="Q73" s="90">
        <f t="shared" ref="Q73:AB73" si="73" xml:space="preserve"> (Q72 + $D68) / $D68</f>
        <v>5.9315616415290418</v>
      </c>
      <c r="R73" s="90">
        <f t="shared" si="73"/>
        <v>6.1429140785553873</v>
      </c>
      <c r="S73" s="90">
        <f t="shared" si="73"/>
        <v>6.4874814275093859</v>
      </c>
      <c r="T73" s="90">
        <f t="shared" si="73"/>
        <v>6.8849882813156649</v>
      </c>
      <c r="U73" s="90">
        <f t="shared" si="73"/>
        <v>7.4836996709420278</v>
      </c>
      <c r="V73" s="90">
        <f t="shared" si="73"/>
        <v>8.6283800109657385</v>
      </c>
      <c r="W73" s="90">
        <f t="shared" si="73"/>
        <v>9.9045182210288054</v>
      </c>
      <c r="X73" s="90">
        <f t="shared" si="73"/>
        <v>11.457254728376704</v>
      </c>
      <c r="Y73" s="90">
        <f t="shared" si="73"/>
        <v>13.022079445310624</v>
      </c>
      <c r="Z73" s="90">
        <f t="shared" si="73"/>
        <v>14.440545352273833</v>
      </c>
      <c r="AA73" s="90">
        <f t="shared" si="73"/>
        <v>15.800765366789419</v>
      </c>
      <c r="AB73" s="90">
        <f t="shared" si="73"/>
        <v>16.767012076884601</v>
      </c>
      <c r="AC73" s="44"/>
    </row>
  </sheetData>
  <mergeCells count="21">
    <mergeCell ref="D70:P70"/>
    <mergeCell ref="Q70:AC70"/>
    <mergeCell ref="E5:H5"/>
    <mergeCell ref="E6:H6"/>
    <mergeCell ref="E7:H7"/>
    <mergeCell ref="E8:H8"/>
    <mergeCell ref="E9:H9"/>
    <mergeCell ref="E12:H12"/>
    <mergeCell ref="K7:L7"/>
    <mergeCell ref="K5:L5"/>
    <mergeCell ref="K6:L6"/>
    <mergeCell ref="B2:N2"/>
    <mergeCell ref="I3:I4"/>
    <mergeCell ref="K3:M4"/>
    <mergeCell ref="P17:P18"/>
    <mergeCell ref="AC17:AC18"/>
    <mergeCell ref="B11:C11"/>
    <mergeCell ref="E10:H10"/>
    <mergeCell ref="E11:H11"/>
    <mergeCell ref="B4:C4"/>
    <mergeCell ref="E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франшиза</vt:lpstr>
      <vt:lpstr>mini</vt:lpstr>
      <vt:lpstr>premium</vt:lpstr>
      <vt:lpstr>VIP</vt:lpstr>
      <vt:lpstr>самостоятельный 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2021-04-07T11:40:17Z</dcterms:modified>
</cp:coreProperties>
</file>