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75" windowWidth="20115" windowHeight="7995" tabRatio="662" activeTab="1"/>
  </bookViews>
  <sheets>
    <sheet name="Старт" sheetId="1" r:id="rId1"/>
    <sheet name="Параметры" sheetId="2" r:id="rId2"/>
    <sheet name="Этапы" sheetId="3" r:id="rId3"/>
    <sheet name="Инвестиции" sheetId="4" r:id="rId4"/>
    <sheet name="Продажи" sheetId="5" r:id="rId5"/>
    <sheet name="БДР" sheetId="6" r:id="rId6"/>
    <sheet name="Результат" sheetId="7" r:id="rId7"/>
    <sheet name="внутр" sheetId="8" state="veryHidden" r:id="rId8"/>
    <sheet name="кредит" sheetId="9" state="veryHidden" r:id="rId9"/>
    <sheet name="графики" sheetId="11" state="veryHidden" r:id="rId10"/>
    <sheet name="mini" sheetId="12" state="veryHidden" r:id="rId11"/>
    <sheet name="premium" sheetId="13" state="veryHidden" r:id="rId12"/>
    <sheet name="VIP" sheetId="14" state="veryHidden" r:id="rId13"/>
    <sheet name="Безубыточность" sheetId="15" state="veryHidden" r:id="rId14"/>
  </sheets>
  <externalReferences>
    <externalReference r:id="rId15"/>
  </externalReferences>
  <definedNames>
    <definedName name="Города">[1]Внутр!$L$8:$L$12</definedName>
    <definedName name="Месяц">[1]Внутр!$B$2:$B$13</definedName>
    <definedName name="Налоги">[1]Внутр!$H$25:$H$27</definedName>
    <definedName name="Собственник">[1]Внутр!$L$2:$L$3</definedName>
    <definedName name="Форма">[1]Внутр!$I$17:$J$17</definedName>
  </definedNames>
  <calcPr calcId="145621"/>
</workbook>
</file>

<file path=xl/calcChain.xml><?xml version="1.0" encoding="utf-8"?>
<calcChain xmlns="http://schemas.openxmlformats.org/spreadsheetml/2006/main">
  <c r="B30" i="15" l="1"/>
  <c r="C26" i="15" l="1"/>
  <c r="D26" i="15"/>
  <c r="E26" i="15"/>
  <c r="F26" i="15"/>
  <c r="G26" i="15"/>
  <c r="H26" i="15"/>
  <c r="I26" i="15"/>
  <c r="J26" i="15"/>
  <c r="K26" i="15"/>
  <c r="L26" i="15"/>
  <c r="B26" i="15"/>
  <c r="B24" i="15"/>
  <c r="C20" i="15"/>
  <c r="D20" i="15"/>
  <c r="E20" i="15"/>
  <c r="F20" i="15"/>
  <c r="G20" i="15"/>
  <c r="H20" i="15"/>
  <c r="I20" i="15"/>
  <c r="J20" i="15"/>
  <c r="K20" i="15"/>
  <c r="L20" i="15"/>
  <c r="B20" i="15"/>
  <c r="A26" i="15"/>
  <c r="A27" i="15"/>
  <c r="A20" i="15"/>
  <c r="A21" i="15"/>
  <c r="A23" i="15"/>
  <c r="A25" i="15"/>
  <c r="A19" i="15"/>
  <c r="B6" i="15"/>
  <c r="B5" i="15"/>
  <c r="A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C4" i="15"/>
  <c r="F37" i="6" l="1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E37" i="6"/>
  <c r="E20" i="2" l="1"/>
  <c r="B3" i="9"/>
  <c r="B2" i="9"/>
  <c r="B1" i="9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E24" i="6"/>
  <c r="C24" i="6"/>
  <c r="E23" i="6"/>
  <c r="D24" i="6" l="1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E22" i="6"/>
  <c r="E21" i="6"/>
  <c r="E20" i="6"/>
  <c r="E19" i="6"/>
  <c r="E18" i="6"/>
  <c r="E17" i="6" l="1"/>
  <c r="C21" i="6" l="1"/>
  <c r="C22" i="6"/>
  <c r="C23" i="6"/>
  <c r="C14" i="6"/>
  <c r="C15" i="6"/>
  <c r="C16" i="6"/>
  <c r="C17" i="6"/>
  <c r="C18" i="6"/>
  <c r="C19" i="6"/>
  <c r="C20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E13" i="6"/>
  <c r="D19" i="6" l="1"/>
  <c r="D21" i="6"/>
  <c r="D18" i="6"/>
  <c r="D20" i="6"/>
  <c r="D22" i="6"/>
  <c r="D13" i="6"/>
  <c r="D14" i="12" l="1"/>
  <c r="F20" i="12" s="1"/>
  <c r="D13" i="12"/>
  <c r="E19" i="12" s="1"/>
  <c r="D12" i="12"/>
  <c r="F18" i="12" s="1"/>
  <c r="D14" i="13"/>
  <c r="D13" i="13"/>
  <c r="D12" i="13"/>
  <c r="D13" i="14"/>
  <c r="D14" i="14"/>
  <c r="D15" i="14"/>
  <c r="X21" i="14" s="1"/>
  <c r="D16" i="14"/>
  <c r="D12" i="14"/>
  <c r="D22" i="14"/>
  <c r="D19" i="12" l="1"/>
  <c r="AB18" i="12"/>
  <c r="Z18" i="12"/>
  <c r="X18" i="12"/>
  <c r="V18" i="12"/>
  <c r="T18" i="12"/>
  <c r="R18" i="12"/>
  <c r="O18" i="12"/>
  <c r="M18" i="12"/>
  <c r="K18" i="12"/>
  <c r="I18" i="12"/>
  <c r="G18" i="12"/>
  <c r="E18" i="12"/>
  <c r="AA19" i="12"/>
  <c r="Y19" i="12"/>
  <c r="W19" i="12"/>
  <c r="U19" i="12"/>
  <c r="S19" i="12"/>
  <c r="Q19" i="12"/>
  <c r="N19" i="12"/>
  <c r="L19" i="12"/>
  <c r="J19" i="12"/>
  <c r="H19" i="12"/>
  <c r="F19" i="12"/>
  <c r="AB20" i="12"/>
  <c r="Z20" i="12"/>
  <c r="X20" i="12"/>
  <c r="V20" i="12"/>
  <c r="T20" i="12"/>
  <c r="R20" i="12"/>
  <c r="O20" i="12"/>
  <c r="M20" i="12"/>
  <c r="K20" i="12"/>
  <c r="I20" i="12"/>
  <c r="G20" i="12"/>
  <c r="E20" i="12"/>
  <c r="H21" i="14"/>
  <c r="D18" i="12"/>
  <c r="D20" i="12"/>
  <c r="AA18" i="12"/>
  <c r="Y18" i="12"/>
  <c r="W18" i="12"/>
  <c r="U18" i="12"/>
  <c r="S18" i="12"/>
  <c r="Q18" i="12"/>
  <c r="N18" i="12"/>
  <c r="L18" i="12"/>
  <c r="J18" i="12"/>
  <c r="H18" i="12"/>
  <c r="AB19" i="12"/>
  <c r="Z19" i="12"/>
  <c r="X19" i="12"/>
  <c r="V19" i="12"/>
  <c r="T19" i="12"/>
  <c r="R19" i="12"/>
  <c r="O19" i="12"/>
  <c r="M19" i="12"/>
  <c r="K19" i="12"/>
  <c r="I19" i="12"/>
  <c r="G19" i="12"/>
  <c r="AA20" i="12"/>
  <c r="Y20" i="12"/>
  <c r="W20" i="12"/>
  <c r="U20" i="12"/>
  <c r="S20" i="12"/>
  <c r="Q20" i="12"/>
  <c r="N20" i="12"/>
  <c r="L20" i="12"/>
  <c r="J20" i="12"/>
  <c r="H20" i="12"/>
  <c r="D21" i="14"/>
  <c r="E22" i="14"/>
  <c r="F22" i="14"/>
  <c r="G22" i="14"/>
  <c r="H22" i="14"/>
  <c r="I22" i="14"/>
  <c r="J22" i="14"/>
  <c r="K22" i="14"/>
  <c r="L22" i="14"/>
  <c r="M22" i="14"/>
  <c r="N22" i="14"/>
  <c r="O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E21" i="14"/>
  <c r="F21" i="14"/>
  <c r="G21" i="14"/>
  <c r="I21" i="14"/>
  <c r="J21" i="14"/>
  <c r="K21" i="14"/>
  <c r="L21" i="14"/>
  <c r="M21" i="14"/>
  <c r="N21" i="14"/>
  <c r="O21" i="14"/>
  <c r="Q21" i="14"/>
  <c r="R21" i="14"/>
  <c r="S21" i="14"/>
  <c r="T21" i="14"/>
  <c r="U21" i="14"/>
  <c r="V21" i="14"/>
  <c r="W21" i="14"/>
  <c r="Y21" i="14"/>
  <c r="Z21" i="14"/>
  <c r="AA21" i="14"/>
  <c r="AB21" i="14"/>
  <c r="I101" i="2" l="1"/>
  <c r="H101" i="2"/>
  <c r="G101" i="2"/>
  <c r="F101" i="2"/>
  <c r="E101" i="2"/>
  <c r="D101" i="2"/>
  <c r="Q16" i="5"/>
  <c r="P16" i="5"/>
  <c r="P17" i="5"/>
  <c r="D30" i="5"/>
  <c r="C26" i="5"/>
  <c r="C27" i="5"/>
  <c r="C28" i="5"/>
  <c r="C29" i="5"/>
  <c r="C30" i="5"/>
  <c r="D23" i="5"/>
  <c r="C25" i="5"/>
  <c r="D22" i="5"/>
  <c r="C20" i="5"/>
  <c r="C21" i="5"/>
  <c r="C22" i="5"/>
  <c r="C23" i="5"/>
  <c r="C19" i="5"/>
  <c r="D16" i="5"/>
  <c r="D17" i="5"/>
  <c r="F34" i="2" l="1"/>
  <c r="F18" i="4"/>
  <c r="C14" i="5"/>
  <c r="C15" i="5"/>
  <c r="C16" i="5"/>
  <c r="C17" i="5"/>
  <c r="C13" i="5"/>
  <c r="D58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E29" i="14"/>
  <c r="D28" i="14"/>
  <c r="D29" i="5" s="1"/>
  <c r="D27" i="14"/>
  <c r="D28" i="5" s="1"/>
  <c r="R11" i="14"/>
  <c r="E11" i="14"/>
  <c r="S10" i="14"/>
  <c r="R16" i="5" s="1"/>
  <c r="E10" i="14"/>
  <c r="AB20" i="14"/>
  <c r="AA20" i="14"/>
  <c r="Z20" i="14"/>
  <c r="Y20" i="14"/>
  <c r="X20" i="14"/>
  <c r="W20" i="14"/>
  <c r="V20" i="14"/>
  <c r="U20" i="14"/>
  <c r="T20" i="14"/>
  <c r="S20" i="14"/>
  <c r="R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D58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AC36" i="13" s="1"/>
  <c r="O36" i="13"/>
  <c r="N36" i="13"/>
  <c r="M36" i="13"/>
  <c r="L36" i="13"/>
  <c r="K36" i="13"/>
  <c r="J36" i="13"/>
  <c r="I36" i="13"/>
  <c r="H36" i="13"/>
  <c r="G36" i="13"/>
  <c r="F36" i="13"/>
  <c r="E36" i="13"/>
  <c r="D36" i="13"/>
  <c r="P36" i="13" s="1"/>
  <c r="E29" i="13"/>
  <c r="F29" i="13" s="1"/>
  <c r="G29" i="13" s="1"/>
  <c r="H29" i="13" s="1"/>
  <c r="I29" i="13" s="1"/>
  <c r="J29" i="13" s="1"/>
  <c r="K29" i="13" s="1"/>
  <c r="L29" i="13" s="1"/>
  <c r="M29" i="13" s="1"/>
  <c r="N29" i="13" s="1"/>
  <c r="O29" i="13" s="1"/>
  <c r="Q29" i="13" s="1"/>
  <c r="R29" i="13" s="1"/>
  <c r="S29" i="13" s="1"/>
  <c r="T29" i="13" s="1"/>
  <c r="U29" i="13" s="1"/>
  <c r="V29" i="13" s="1"/>
  <c r="W29" i="13" s="1"/>
  <c r="X29" i="13" s="1"/>
  <c r="Y29" i="13" s="1"/>
  <c r="Z29" i="13" s="1"/>
  <c r="AA29" i="13" s="1"/>
  <c r="AB29" i="13" s="1"/>
  <c r="D20" i="13"/>
  <c r="AB19" i="13"/>
  <c r="Z19" i="13"/>
  <c r="X19" i="13"/>
  <c r="V19" i="13"/>
  <c r="T19" i="13"/>
  <c r="S19" i="13"/>
  <c r="R19" i="13"/>
  <c r="Q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B18" i="13"/>
  <c r="AB24" i="13" s="1"/>
  <c r="AA18" i="13"/>
  <c r="AA24" i="13" s="1"/>
  <c r="Z18" i="13"/>
  <c r="Z24" i="13" s="1"/>
  <c r="Y18" i="13"/>
  <c r="Y24" i="13" s="1"/>
  <c r="X18" i="13"/>
  <c r="X24" i="13" s="1"/>
  <c r="W18" i="13"/>
  <c r="W24" i="13" s="1"/>
  <c r="V18" i="13"/>
  <c r="V24" i="13" s="1"/>
  <c r="U18" i="13"/>
  <c r="U24" i="13" s="1"/>
  <c r="T18" i="13"/>
  <c r="T24" i="13" s="1"/>
  <c r="S18" i="13"/>
  <c r="S24" i="13" s="1"/>
  <c r="R18" i="13"/>
  <c r="R24" i="13" s="1"/>
  <c r="Q18" i="13"/>
  <c r="Q24" i="13" s="1"/>
  <c r="O18" i="13"/>
  <c r="O24" i="13" s="1"/>
  <c r="N18" i="13"/>
  <c r="N24" i="13" s="1"/>
  <c r="M18" i="13"/>
  <c r="M24" i="13" s="1"/>
  <c r="L18" i="13"/>
  <c r="L24" i="13" s="1"/>
  <c r="K18" i="13"/>
  <c r="K24" i="13" s="1"/>
  <c r="J18" i="13"/>
  <c r="J24" i="13" s="1"/>
  <c r="I18" i="13"/>
  <c r="I24" i="13" s="1"/>
  <c r="H18" i="13"/>
  <c r="H24" i="13" s="1"/>
  <c r="G18" i="13"/>
  <c r="G24" i="13" s="1"/>
  <c r="F18" i="13"/>
  <c r="F24" i="13" s="1"/>
  <c r="E18" i="13"/>
  <c r="E24" i="13" s="1"/>
  <c r="D18" i="13"/>
  <c r="D24" i="13" s="1"/>
  <c r="D57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P36" i="12" s="1"/>
  <c r="U26" i="12"/>
  <c r="R26" i="12"/>
  <c r="Q26" i="12"/>
  <c r="G26" i="12"/>
  <c r="F26" i="12"/>
  <c r="E26" i="12"/>
  <c r="AB25" i="12"/>
  <c r="AA25" i="12"/>
  <c r="Z25" i="12"/>
  <c r="R25" i="12"/>
  <c r="Q25" i="12"/>
  <c r="O25" i="12"/>
  <c r="N25" i="12"/>
  <c r="M25" i="12"/>
  <c r="L25" i="12"/>
  <c r="K25" i="12"/>
  <c r="J25" i="12"/>
  <c r="I25" i="12"/>
  <c r="H25" i="12"/>
  <c r="G25" i="12"/>
  <c r="F25" i="12"/>
  <c r="E25" i="12"/>
  <c r="AB24" i="12"/>
  <c r="R24" i="12"/>
  <c r="R23" i="12" s="1"/>
  <c r="Q24" i="12"/>
  <c r="O24" i="12"/>
  <c r="N24" i="12"/>
  <c r="M24" i="12"/>
  <c r="L24" i="12"/>
  <c r="K24" i="12"/>
  <c r="J24" i="12"/>
  <c r="I24" i="12"/>
  <c r="H24" i="12"/>
  <c r="G24" i="12"/>
  <c r="G23" i="12" s="1"/>
  <c r="F24" i="12"/>
  <c r="E24" i="12"/>
  <c r="E23" i="12" s="1"/>
  <c r="R17" i="12"/>
  <c r="R35" i="12" s="1"/>
  <c r="E17" i="12"/>
  <c r="E34" i="12" s="1"/>
  <c r="V9" i="12"/>
  <c r="S9" i="12"/>
  <c r="S26" i="12" s="1"/>
  <c r="H9" i="12"/>
  <c r="H26" i="12" s="1"/>
  <c r="S8" i="12"/>
  <c r="S25" i="12" s="1"/>
  <c r="P8" i="12"/>
  <c r="S7" i="12"/>
  <c r="P7" i="12"/>
  <c r="E11" i="5" l="1"/>
  <c r="G11" i="5"/>
  <c r="I11" i="5"/>
  <c r="K11" i="5"/>
  <c r="M11" i="5"/>
  <c r="O11" i="5"/>
  <c r="Q11" i="5"/>
  <c r="S11" i="5"/>
  <c r="U11" i="5"/>
  <c r="W11" i="5"/>
  <c r="Y11" i="5"/>
  <c r="AA11" i="5"/>
  <c r="D11" i="5"/>
  <c r="F11" i="5"/>
  <c r="H11" i="5"/>
  <c r="J11" i="5"/>
  <c r="L11" i="5"/>
  <c r="N11" i="5"/>
  <c r="P11" i="5"/>
  <c r="R11" i="5"/>
  <c r="T11" i="5"/>
  <c r="V11" i="5"/>
  <c r="X11" i="5"/>
  <c r="Z11" i="5"/>
  <c r="E20" i="13"/>
  <c r="E26" i="13" s="1"/>
  <c r="G20" i="13"/>
  <c r="G26" i="13" s="1"/>
  <c r="I20" i="13"/>
  <c r="I26" i="13" s="1"/>
  <c r="K20" i="13"/>
  <c r="K26" i="13" s="1"/>
  <c r="M20" i="13"/>
  <c r="M26" i="13" s="1"/>
  <c r="O20" i="13"/>
  <c r="O26" i="13" s="1"/>
  <c r="R20" i="13"/>
  <c r="R26" i="13" s="1"/>
  <c r="T20" i="13"/>
  <c r="T26" i="13" s="1"/>
  <c r="V20" i="13"/>
  <c r="V26" i="13" s="1"/>
  <c r="X20" i="13"/>
  <c r="X26" i="13" s="1"/>
  <c r="Z20" i="13"/>
  <c r="Z26" i="13" s="1"/>
  <c r="AB20" i="13"/>
  <c r="AB26" i="13" s="1"/>
  <c r="Q13" i="5"/>
  <c r="R18" i="14"/>
  <c r="S13" i="5"/>
  <c r="T18" i="14"/>
  <c r="U13" i="5"/>
  <c r="V18" i="14"/>
  <c r="W13" i="5"/>
  <c r="X18" i="14"/>
  <c r="Y13" i="5"/>
  <c r="Z18" i="14"/>
  <c r="AA13" i="5"/>
  <c r="AB18" i="14"/>
  <c r="U25" i="13"/>
  <c r="U19" i="13"/>
  <c r="W25" i="13"/>
  <c r="W19" i="13"/>
  <c r="Y25" i="13"/>
  <c r="Y19" i="13"/>
  <c r="AA25" i="13"/>
  <c r="AA19" i="13"/>
  <c r="F26" i="13"/>
  <c r="F20" i="13"/>
  <c r="H26" i="13"/>
  <c r="H20" i="13"/>
  <c r="J26" i="13"/>
  <c r="J20" i="13"/>
  <c r="L26" i="13"/>
  <c r="L20" i="13"/>
  <c r="N26" i="13"/>
  <c r="N20" i="13"/>
  <c r="Q26" i="13"/>
  <c r="Q20" i="13"/>
  <c r="S26" i="13"/>
  <c r="S20" i="13"/>
  <c r="U26" i="13"/>
  <c r="U20" i="13"/>
  <c r="W26" i="13"/>
  <c r="W20" i="13"/>
  <c r="Y26" i="13"/>
  <c r="Y20" i="13"/>
  <c r="AA26" i="13"/>
  <c r="AA20" i="13"/>
  <c r="P13" i="5"/>
  <c r="Q18" i="14"/>
  <c r="R13" i="5"/>
  <c r="S18" i="14"/>
  <c r="T13" i="5"/>
  <c r="U18" i="14"/>
  <c r="V13" i="5"/>
  <c r="W18" i="14"/>
  <c r="X13" i="5"/>
  <c r="Y18" i="14"/>
  <c r="Z13" i="5"/>
  <c r="AA18" i="14"/>
  <c r="P15" i="5"/>
  <c r="Q20" i="14"/>
  <c r="E22" i="5"/>
  <c r="E16" i="5"/>
  <c r="E23" i="5"/>
  <c r="E17" i="5"/>
  <c r="R27" i="14"/>
  <c r="Q28" i="5" s="1"/>
  <c r="Q22" i="5"/>
  <c r="Q28" i="14"/>
  <c r="P29" i="5" s="1"/>
  <c r="P23" i="5"/>
  <c r="Q17" i="5"/>
  <c r="Q27" i="14"/>
  <c r="P28" i="5" s="1"/>
  <c r="P22" i="5"/>
  <c r="F29" i="14"/>
  <c r="E30" i="5"/>
  <c r="E13" i="5"/>
  <c r="G13" i="5"/>
  <c r="I13" i="5"/>
  <c r="K13" i="5"/>
  <c r="M13" i="5"/>
  <c r="O13" i="5"/>
  <c r="E20" i="5"/>
  <c r="E14" i="5"/>
  <c r="G20" i="5"/>
  <c r="G14" i="5"/>
  <c r="I20" i="5"/>
  <c r="I14" i="5"/>
  <c r="K25" i="14"/>
  <c r="K20" i="5"/>
  <c r="K14" i="5"/>
  <c r="M20" i="5"/>
  <c r="M14" i="5"/>
  <c r="O20" i="5"/>
  <c r="O14" i="5"/>
  <c r="Q14" i="5"/>
  <c r="S14" i="5"/>
  <c r="U14" i="5"/>
  <c r="W14" i="5"/>
  <c r="Y14" i="5"/>
  <c r="AA14" i="5"/>
  <c r="E21" i="5"/>
  <c r="E15" i="5"/>
  <c r="G21" i="5"/>
  <c r="G15" i="5"/>
  <c r="I21" i="5"/>
  <c r="I15" i="5"/>
  <c r="K21" i="5"/>
  <c r="K15" i="5"/>
  <c r="M21" i="5"/>
  <c r="M15" i="5"/>
  <c r="O21" i="5"/>
  <c r="O15" i="5"/>
  <c r="Q15" i="5"/>
  <c r="S15" i="5"/>
  <c r="U15" i="5"/>
  <c r="W15" i="5"/>
  <c r="Y15" i="5"/>
  <c r="AA15" i="5"/>
  <c r="R24" i="14"/>
  <c r="Q25" i="5" s="1"/>
  <c r="Q19" i="5"/>
  <c r="T24" i="14"/>
  <c r="S19" i="5"/>
  <c r="V24" i="14"/>
  <c r="U19" i="5"/>
  <c r="X24" i="14"/>
  <c r="W19" i="5"/>
  <c r="Z24" i="14"/>
  <c r="Y19" i="5"/>
  <c r="AB24" i="14"/>
  <c r="AA25" i="5" s="1"/>
  <c r="AA19" i="5"/>
  <c r="D13" i="5"/>
  <c r="F13" i="5"/>
  <c r="H13" i="5"/>
  <c r="J13" i="5"/>
  <c r="L13" i="5"/>
  <c r="N13" i="5"/>
  <c r="D20" i="5"/>
  <c r="D14" i="5"/>
  <c r="F20" i="5"/>
  <c r="F14" i="5"/>
  <c r="H20" i="5"/>
  <c r="H14" i="5"/>
  <c r="J20" i="5"/>
  <c r="J14" i="5"/>
  <c r="L20" i="5"/>
  <c r="L14" i="5"/>
  <c r="N20" i="5"/>
  <c r="N14" i="5"/>
  <c r="P20" i="5"/>
  <c r="P14" i="5"/>
  <c r="P12" i="5" s="1"/>
  <c r="R20" i="5"/>
  <c r="R14" i="5"/>
  <c r="T20" i="5"/>
  <c r="T14" i="5"/>
  <c r="V20" i="5"/>
  <c r="V14" i="5"/>
  <c r="X20" i="5"/>
  <c r="X14" i="5"/>
  <c r="Z20" i="5"/>
  <c r="Z14" i="5"/>
  <c r="D21" i="5"/>
  <c r="D15" i="5"/>
  <c r="F21" i="5"/>
  <c r="F15" i="5"/>
  <c r="H21" i="5"/>
  <c r="H15" i="5"/>
  <c r="J21" i="5"/>
  <c r="J15" i="5"/>
  <c r="L21" i="5"/>
  <c r="L15" i="5"/>
  <c r="N21" i="5"/>
  <c r="N15" i="5"/>
  <c r="R15" i="5"/>
  <c r="T15" i="5"/>
  <c r="V15" i="5"/>
  <c r="X15" i="5"/>
  <c r="Z15" i="5"/>
  <c r="Q24" i="14"/>
  <c r="P25" i="5" s="1"/>
  <c r="P19" i="5"/>
  <c r="S24" i="14"/>
  <c r="R19" i="5"/>
  <c r="U24" i="14"/>
  <c r="T19" i="5"/>
  <c r="W24" i="14"/>
  <c r="V19" i="5"/>
  <c r="Y24" i="14"/>
  <c r="X19" i="5"/>
  <c r="AA24" i="14"/>
  <c r="Z19" i="5"/>
  <c r="P36" i="14"/>
  <c r="AC7" i="13"/>
  <c r="AC8" i="13"/>
  <c r="P7" i="13"/>
  <c r="D26" i="13"/>
  <c r="F11" i="14"/>
  <c r="G11" i="14" s="1"/>
  <c r="S11" i="14"/>
  <c r="P7" i="14"/>
  <c r="AC7" i="14"/>
  <c r="AC9" i="14"/>
  <c r="T8" i="12"/>
  <c r="I9" i="12"/>
  <c r="G17" i="12"/>
  <c r="G35" i="12" s="1"/>
  <c r="H23" i="12"/>
  <c r="H48" i="12" s="1"/>
  <c r="H47" i="12" s="1"/>
  <c r="T7" i="12"/>
  <c r="F17" i="12"/>
  <c r="F35" i="12" s="1"/>
  <c r="H17" i="12"/>
  <c r="F23" i="12"/>
  <c r="F48" i="12" s="1"/>
  <c r="F47" i="12" s="1"/>
  <c r="E35" i="12"/>
  <c r="E30" i="12" s="1"/>
  <c r="D25" i="14"/>
  <c r="H25" i="14"/>
  <c r="L25" i="14"/>
  <c r="P8" i="14"/>
  <c r="E27" i="14"/>
  <c r="E28" i="5" s="1"/>
  <c r="F10" i="14"/>
  <c r="T10" i="14"/>
  <c r="S16" i="5" s="1"/>
  <c r="O25" i="14"/>
  <c r="Q25" i="14"/>
  <c r="W25" i="14"/>
  <c r="AA25" i="14"/>
  <c r="Z26" i="5" s="1"/>
  <c r="P9" i="14"/>
  <c r="K17" i="14"/>
  <c r="K34" i="14" s="1"/>
  <c r="K30" i="14" s="1"/>
  <c r="AC8" i="14"/>
  <c r="R17" i="14"/>
  <c r="R34" i="14" s="1"/>
  <c r="R30" i="14" s="1"/>
  <c r="AC36" i="14"/>
  <c r="C62" i="14"/>
  <c r="E25" i="13"/>
  <c r="E17" i="13"/>
  <c r="G25" i="13"/>
  <c r="G17" i="13"/>
  <c r="G34" i="13" s="1"/>
  <c r="G30" i="13" s="1"/>
  <c r="I25" i="13"/>
  <c r="I17" i="13"/>
  <c r="I34" i="13" s="1"/>
  <c r="I30" i="13" s="1"/>
  <c r="K25" i="13"/>
  <c r="K17" i="13"/>
  <c r="K34" i="13" s="1"/>
  <c r="K30" i="13" s="1"/>
  <c r="M25" i="13"/>
  <c r="M17" i="13"/>
  <c r="M34" i="13" s="1"/>
  <c r="M30" i="13" s="1"/>
  <c r="O25" i="13"/>
  <c r="O17" i="13"/>
  <c r="O34" i="13" s="1"/>
  <c r="O30" i="13" s="1"/>
  <c r="R25" i="13"/>
  <c r="R17" i="13"/>
  <c r="R34" i="13" s="1"/>
  <c r="R30" i="13" s="1"/>
  <c r="T25" i="13"/>
  <c r="T17" i="13"/>
  <c r="T34" i="13" s="1"/>
  <c r="T30" i="13" s="1"/>
  <c r="V25" i="13"/>
  <c r="V17" i="13"/>
  <c r="V34" i="13" s="1"/>
  <c r="V30" i="13" s="1"/>
  <c r="X25" i="13"/>
  <c r="X17" i="13"/>
  <c r="X34" i="13" s="1"/>
  <c r="X30" i="13" s="1"/>
  <c r="Z25" i="13"/>
  <c r="Z17" i="13"/>
  <c r="Z34" i="13" s="1"/>
  <c r="Z30" i="13" s="1"/>
  <c r="AB25" i="13"/>
  <c r="AB17" i="13"/>
  <c r="AB34" i="13" s="1"/>
  <c r="AB30" i="13" s="1"/>
  <c r="D25" i="13"/>
  <c r="D23" i="13" s="1"/>
  <c r="F25" i="13"/>
  <c r="F23" i="13" s="1"/>
  <c r="F17" i="13"/>
  <c r="H25" i="13"/>
  <c r="H23" i="13" s="1"/>
  <c r="H17" i="13"/>
  <c r="H34" i="13" s="1"/>
  <c r="H30" i="13" s="1"/>
  <c r="J25" i="13"/>
  <c r="J23" i="13" s="1"/>
  <c r="J17" i="13"/>
  <c r="J34" i="13" s="1"/>
  <c r="J30" i="13" s="1"/>
  <c r="L25" i="13"/>
  <c r="L23" i="13" s="1"/>
  <c r="L17" i="13"/>
  <c r="L34" i="13" s="1"/>
  <c r="L30" i="13" s="1"/>
  <c r="N25" i="13"/>
  <c r="N23" i="13" s="1"/>
  <c r="N17" i="13"/>
  <c r="N34" i="13" s="1"/>
  <c r="N30" i="13" s="1"/>
  <c r="S25" i="13"/>
  <c r="S23" i="13" s="1"/>
  <c r="S17" i="13"/>
  <c r="S34" i="13" s="1"/>
  <c r="S30" i="13" s="1"/>
  <c r="P8" i="13"/>
  <c r="P9" i="13"/>
  <c r="U23" i="13"/>
  <c r="W23" i="13"/>
  <c r="Y23" i="13"/>
  <c r="AA23" i="13"/>
  <c r="AC9" i="13"/>
  <c r="U17" i="13"/>
  <c r="U34" i="13" s="1"/>
  <c r="U30" i="13" s="1"/>
  <c r="W17" i="13"/>
  <c r="W34" i="13" s="1"/>
  <c r="W30" i="13" s="1"/>
  <c r="Y17" i="13"/>
  <c r="Y34" i="13" s="1"/>
  <c r="Y30" i="13" s="1"/>
  <c r="AA17" i="13"/>
  <c r="AA34" i="13" s="1"/>
  <c r="AA30" i="13" s="1"/>
  <c r="C62" i="13"/>
  <c r="R48" i="12"/>
  <c r="R47" i="12" s="1"/>
  <c r="U7" i="12"/>
  <c r="T25" i="12"/>
  <c r="U8" i="12"/>
  <c r="V26" i="12"/>
  <c r="W9" i="12"/>
  <c r="G48" i="12"/>
  <c r="G47" i="12" s="1"/>
  <c r="Q23" i="12"/>
  <c r="F34" i="12"/>
  <c r="F30" i="12" s="1"/>
  <c r="H35" i="12"/>
  <c r="H34" i="12"/>
  <c r="E48" i="12"/>
  <c r="E47" i="12" s="1"/>
  <c r="J9" i="12"/>
  <c r="T9" i="12"/>
  <c r="Q17" i="12"/>
  <c r="S17" i="12"/>
  <c r="S24" i="12"/>
  <c r="S23" i="12" s="1"/>
  <c r="AA24" i="12"/>
  <c r="R34" i="12"/>
  <c r="R30" i="12" s="1"/>
  <c r="G34" i="12"/>
  <c r="G30" i="12" s="1"/>
  <c r="AC36" i="12"/>
  <c r="C61" i="12"/>
  <c r="O26" i="5" l="1"/>
  <c r="H26" i="5"/>
  <c r="K26" i="5"/>
  <c r="L26" i="5"/>
  <c r="X23" i="13"/>
  <c r="O23" i="13"/>
  <c r="G23" i="13"/>
  <c r="AB23" i="13"/>
  <c r="Z23" i="13"/>
  <c r="Z49" i="13" s="1"/>
  <c r="Z48" i="13" s="1"/>
  <c r="V23" i="13"/>
  <c r="T23" i="13"/>
  <c r="T49" i="13" s="1"/>
  <c r="T48" i="13" s="1"/>
  <c r="R23" i="13"/>
  <c r="M23" i="13"/>
  <c r="K23" i="13"/>
  <c r="I23" i="13"/>
  <c r="I49" i="13" s="1"/>
  <c r="I48" i="13" s="1"/>
  <c r="E23" i="13"/>
  <c r="Z25" i="5"/>
  <c r="R25" i="5"/>
  <c r="H30" i="12"/>
  <c r="F49" i="12"/>
  <c r="G49" i="12"/>
  <c r="H49" i="12"/>
  <c r="R49" i="12"/>
  <c r="E28" i="14"/>
  <c r="E29" i="5" s="1"/>
  <c r="G29" i="14"/>
  <c r="F30" i="5"/>
  <c r="R28" i="14"/>
  <c r="Q29" i="5" s="1"/>
  <c r="Q23" i="5"/>
  <c r="S27" i="14"/>
  <c r="R28" i="5" s="1"/>
  <c r="R22" i="5"/>
  <c r="R17" i="5"/>
  <c r="T11" i="14"/>
  <c r="S17" i="5" s="1"/>
  <c r="S17" i="14"/>
  <c r="S34" i="14" s="1"/>
  <c r="S30" i="14" s="1"/>
  <c r="I17" i="14"/>
  <c r="I34" i="14" s="1"/>
  <c r="I30" i="14" s="1"/>
  <c r="G17" i="14"/>
  <c r="G34" i="14" s="1"/>
  <c r="G30" i="14" s="1"/>
  <c r="N17" i="14"/>
  <c r="N34" i="14" s="1"/>
  <c r="N30" i="14" s="1"/>
  <c r="J17" i="14"/>
  <c r="J34" i="14" s="1"/>
  <c r="J30" i="14" s="1"/>
  <c r="F17" i="14"/>
  <c r="F34" i="14" s="1"/>
  <c r="F30" i="14" s="1"/>
  <c r="D26" i="14"/>
  <c r="L26" i="14"/>
  <c r="I26" i="14"/>
  <c r="L17" i="14"/>
  <c r="L34" i="14" s="1"/>
  <c r="L30" i="14" s="1"/>
  <c r="H17" i="14"/>
  <c r="H34" i="14" s="1"/>
  <c r="H30" i="14" s="1"/>
  <c r="D17" i="14"/>
  <c r="G23" i="5"/>
  <c r="G17" i="5"/>
  <c r="Y25" i="14"/>
  <c r="U25" i="14"/>
  <c r="S25" i="14"/>
  <c r="R26" i="5" s="1"/>
  <c r="O17" i="14"/>
  <c r="O34" i="14" s="1"/>
  <c r="O30" i="14" s="1"/>
  <c r="M17" i="14"/>
  <c r="M34" i="14" s="1"/>
  <c r="M30" i="14" s="1"/>
  <c r="E17" i="14"/>
  <c r="E34" i="14" s="1"/>
  <c r="E30" i="14" s="1"/>
  <c r="F22" i="5"/>
  <c r="F16" i="5"/>
  <c r="N25" i="14"/>
  <c r="N26" i="5" s="1"/>
  <c r="J25" i="14"/>
  <c r="J26" i="5" s="1"/>
  <c r="F25" i="14"/>
  <c r="F26" i="5" s="1"/>
  <c r="F17" i="5"/>
  <c r="H26" i="14"/>
  <c r="H27" i="5" s="1"/>
  <c r="M26" i="14"/>
  <c r="E26" i="14"/>
  <c r="E27" i="5" s="1"/>
  <c r="G25" i="14"/>
  <c r="G26" i="5" s="1"/>
  <c r="N26" i="14"/>
  <c r="J26" i="14"/>
  <c r="F26" i="14"/>
  <c r="F27" i="5" s="1"/>
  <c r="D12" i="5"/>
  <c r="O26" i="14"/>
  <c r="K26" i="14"/>
  <c r="G26" i="14"/>
  <c r="G27" i="5" s="1"/>
  <c r="M25" i="14"/>
  <c r="M26" i="5" s="1"/>
  <c r="I25" i="14"/>
  <c r="I26" i="5" s="1"/>
  <c r="E25" i="14"/>
  <c r="E26" i="5" s="1"/>
  <c r="O19" i="5"/>
  <c r="O24" i="14"/>
  <c r="O25" i="5" s="1"/>
  <c r="M19" i="5"/>
  <c r="M24" i="14"/>
  <c r="M25" i="5" s="1"/>
  <c r="K19" i="5"/>
  <c r="K24" i="14"/>
  <c r="K25" i="5" s="1"/>
  <c r="I19" i="5"/>
  <c r="I24" i="14"/>
  <c r="I25" i="5" s="1"/>
  <c r="G19" i="5"/>
  <c r="G24" i="14"/>
  <c r="G25" i="5" s="1"/>
  <c r="E19" i="5"/>
  <c r="E18" i="5" s="1"/>
  <c r="E24" i="14"/>
  <c r="Q26" i="14"/>
  <c r="P27" i="5" s="1"/>
  <c r="P21" i="5"/>
  <c r="AA26" i="14"/>
  <c r="Z21" i="5"/>
  <c r="Y26" i="14"/>
  <c r="X21" i="5"/>
  <c r="W26" i="14"/>
  <c r="V21" i="5"/>
  <c r="U26" i="14"/>
  <c r="T27" i="5" s="1"/>
  <c r="T21" i="5"/>
  <c r="S26" i="14"/>
  <c r="R27" i="5" s="1"/>
  <c r="R21" i="5"/>
  <c r="N19" i="5"/>
  <c r="N24" i="14"/>
  <c r="N25" i="5" s="1"/>
  <c r="L19" i="5"/>
  <c r="L24" i="14"/>
  <c r="L25" i="5" s="1"/>
  <c r="J19" i="5"/>
  <c r="J24" i="14"/>
  <c r="J25" i="5" s="1"/>
  <c r="H19" i="5"/>
  <c r="H24" i="14"/>
  <c r="H25" i="5" s="1"/>
  <c r="F19" i="5"/>
  <c r="F24" i="14"/>
  <c r="F25" i="5" s="1"/>
  <c r="D19" i="5"/>
  <c r="D18" i="5" s="1"/>
  <c r="D24" i="14"/>
  <c r="AB26" i="14"/>
  <c r="AA21" i="5"/>
  <c r="Z26" i="14"/>
  <c r="Y21" i="5"/>
  <c r="X26" i="14"/>
  <c r="W21" i="5"/>
  <c r="V26" i="14"/>
  <c r="U27" i="5" s="1"/>
  <c r="U21" i="5"/>
  <c r="T26" i="14"/>
  <c r="S21" i="5"/>
  <c r="R26" i="14"/>
  <c r="Q27" i="5" s="1"/>
  <c r="Q21" i="5"/>
  <c r="AB25" i="14"/>
  <c r="AA26" i="5" s="1"/>
  <c r="AA20" i="5"/>
  <c r="Z25" i="14"/>
  <c r="Y26" i="5" s="1"/>
  <c r="Y20" i="5"/>
  <c r="X25" i="14"/>
  <c r="W20" i="5"/>
  <c r="V25" i="14"/>
  <c r="U20" i="5"/>
  <c r="T25" i="14"/>
  <c r="S26" i="5" s="1"/>
  <c r="S20" i="5"/>
  <c r="R25" i="14"/>
  <c r="Q20" i="5"/>
  <c r="E12" i="5"/>
  <c r="T26" i="12"/>
  <c r="D17" i="13"/>
  <c r="D35" i="13" s="1"/>
  <c r="E49" i="12"/>
  <c r="H11" i="14"/>
  <c r="G10" i="14"/>
  <c r="C63" i="14"/>
  <c r="Q17" i="14"/>
  <c r="U11" i="14"/>
  <c r="T17" i="5" s="1"/>
  <c r="S22" i="5"/>
  <c r="U10" i="14"/>
  <c r="T16" i="5" s="1"/>
  <c r="D34" i="14"/>
  <c r="D30" i="14" s="1"/>
  <c r="C63" i="13"/>
  <c r="AB49" i="13"/>
  <c r="AB48" i="13" s="1"/>
  <c r="X49" i="13"/>
  <c r="X48" i="13" s="1"/>
  <c r="O49" i="13"/>
  <c r="O48" i="13" s="1"/>
  <c r="K49" i="13"/>
  <c r="K48" i="13" s="1"/>
  <c r="G49" i="13"/>
  <c r="G48" i="13" s="1"/>
  <c r="AA49" i="13"/>
  <c r="AA48" i="13" s="1"/>
  <c r="W49" i="13"/>
  <c r="W48" i="13" s="1"/>
  <c r="S49" i="13"/>
  <c r="S48" i="13" s="1"/>
  <c r="N49" i="13"/>
  <c r="N48" i="13" s="1"/>
  <c r="J49" i="13"/>
  <c r="J48" i="13" s="1"/>
  <c r="F49" i="13"/>
  <c r="F48" i="13" s="1"/>
  <c r="F35" i="13"/>
  <c r="F34" i="13"/>
  <c r="E35" i="13"/>
  <c r="E34" i="13"/>
  <c r="V49" i="13"/>
  <c r="V48" i="13" s="1"/>
  <c r="R49" i="13"/>
  <c r="R48" i="13" s="1"/>
  <c r="M49" i="13"/>
  <c r="M48" i="13" s="1"/>
  <c r="E49" i="13"/>
  <c r="E48" i="13" s="1"/>
  <c r="Q25" i="13"/>
  <c r="Q23" i="13" s="1"/>
  <c r="Q17" i="13"/>
  <c r="Y49" i="13"/>
  <c r="Y48" i="13" s="1"/>
  <c r="U49" i="13"/>
  <c r="U48" i="13" s="1"/>
  <c r="L49" i="13"/>
  <c r="L48" i="13" s="1"/>
  <c r="H49" i="13"/>
  <c r="H48" i="13" s="1"/>
  <c r="D49" i="13"/>
  <c r="D48" i="13" s="1"/>
  <c r="P23" i="13"/>
  <c r="Q35" i="12"/>
  <c r="Q34" i="12"/>
  <c r="Q48" i="12"/>
  <c r="Q47" i="12" s="1"/>
  <c r="T24" i="12"/>
  <c r="S25" i="5" s="1"/>
  <c r="T17" i="12"/>
  <c r="C62" i="12"/>
  <c r="I26" i="12"/>
  <c r="I23" i="12" s="1"/>
  <c r="I17" i="12"/>
  <c r="S48" i="12"/>
  <c r="S47" i="12" s="1"/>
  <c r="S35" i="12"/>
  <c r="S34" i="12"/>
  <c r="K9" i="12"/>
  <c r="X9" i="12"/>
  <c r="W26" i="12"/>
  <c r="V8" i="12"/>
  <c r="U25" i="12"/>
  <c r="V7" i="12"/>
  <c r="P26" i="5" l="1"/>
  <c r="S27" i="5"/>
  <c r="V27" i="5"/>
  <c r="I27" i="5"/>
  <c r="T26" i="5"/>
  <c r="T23" i="12"/>
  <c r="D34" i="13"/>
  <c r="P17" i="13"/>
  <c r="T28" i="14"/>
  <c r="S29" i="5" s="1"/>
  <c r="S23" i="5"/>
  <c r="S28" i="14"/>
  <c r="R23" i="5"/>
  <c r="H29" i="14"/>
  <c r="G30" i="5"/>
  <c r="P30" i="14"/>
  <c r="F27" i="14"/>
  <c r="F28" i="5" s="1"/>
  <c r="G28" i="14"/>
  <c r="G29" i="5" s="1"/>
  <c r="F12" i="5"/>
  <c r="F23" i="5"/>
  <c r="F18" i="5" s="1"/>
  <c r="F28" i="14"/>
  <c r="F29" i="5" s="1"/>
  <c r="P17" i="14"/>
  <c r="G16" i="5"/>
  <c r="G12" i="5" s="1"/>
  <c r="G22" i="5"/>
  <c r="G18" i="5" s="1"/>
  <c r="H23" i="5"/>
  <c r="H17" i="5"/>
  <c r="Q26" i="5"/>
  <c r="D23" i="14"/>
  <c r="D49" i="14" s="1"/>
  <c r="D48" i="14" s="1"/>
  <c r="E25" i="5"/>
  <c r="E24" i="5" s="1"/>
  <c r="F11" i="6" s="1"/>
  <c r="E23" i="14"/>
  <c r="E49" i="14" s="1"/>
  <c r="E48" i="14" s="1"/>
  <c r="P48" i="13"/>
  <c r="R50" i="13"/>
  <c r="V50" i="13"/>
  <c r="Z50" i="13"/>
  <c r="E30" i="13"/>
  <c r="E50" i="13" s="1"/>
  <c r="T50" i="13"/>
  <c r="X50" i="13"/>
  <c r="AB50" i="13"/>
  <c r="J50" i="13"/>
  <c r="N50" i="13"/>
  <c r="S50" i="13"/>
  <c r="W50" i="13"/>
  <c r="AA50" i="13"/>
  <c r="G50" i="13"/>
  <c r="K50" i="13"/>
  <c r="O50" i="13"/>
  <c r="Q30" i="12"/>
  <c r="Q49" i="12" s="1"/>
  <c r="T22" i="5"/>
  <c r="V10" i="14"/>
  <c r="U16" i="5" s="1"/>
  <c r="V11" i="14"/>
  <c r="U17" i="5" s="1"/>
  <c r="Q34" i="14"/>
  <c r="Q30" i="14" s="1"/>
  <c r="H10" i="14"/>
  <c r="I11" i="14"/>
  <c r="T27" i="14"/>
  <c r="T17" i="14"/>
  <c r="T34" i="14" s="1"/>
  <c r="T30" i="14" s="1"/>
  <c r="H50" i="13"/>
  <c r="L50" i="13"/>
  <c r="U50" i="13"/>
  <c r="Y50" i="13"/>
  <c r="Q49" i="13"/>
  <c r="Q48" i="13" s="1"/>
  <c r="AC48" i="13" s="1"/>
  <c r="AC23" i="13"/>
  <c r="I50" i="13"/>
  <c r="M50" i="13"/>
  <c r="D30" i="13"/>
  <c r="F30" i="13"/>
  <c r="F50" i="13" s="1"/>
  <c r="Q34" i="13"/>
  <c r="Q30" i="13" s="1"/>
  <c r="AC30" i="13" s="1"/>
  <c r="AC17" i="13"/>
  <c r="J26" i="12"/>
  <c r="J23" i="12" s="1"/>
  <c r="J17" i="12"/>
  <c r="I35" i="12"/>
  <c r="I34" i="12"/>
  <c r="T35" i="12"/>
  <c r="T34" i="12"/>
  <c r="W7" i="12"/>
  <c r="V25" i="12"/>
  <c r="U26" i="5" s="1"/>
  <c r="W8" i="12"/>
  <c r="X26" i="12"/>
  <c r="W27" i="5" s="1"/>
  <c r="Y9" i="12"/>
  <c r="U17" i="12"/>
  <c r="U24" i="12"/>
  <c r="L9" i="12"/>
  <c r="S30" i="12"/>
  <c r="S49" i="12" s="1"/>
  <c r="I48" i="12"/>
  <c r="I47" i="12" s="1"/>
  <c r="T48" i="12"/>
  <c r="T47" i="12" s="1"/>
  <c r="F15" i="6" l="1"/>
  <c r="F16" i="6" s="1"/>
  <c r="F14" i="6" s="1"/>
  <c r="F36" i="6"/>
  <c r="F23" i="6"/>
  <c r="J27" i="5"/>
  <c r="U23" i="12"/>
  <c r="T25" i="5"/>
  <c r="I30" i="12"/>
  <c r="U28" i="14"/>
  <c r="T29" i="5" s="1"/>
  <c r="T23" i="5"/>
  <c r="S28" i="5"/>
  <c r="I29" i="14"/>
  <c r="H30" i="5"/>
  <c r="R29" i="5"/>
  <c r="F24" i="5"/>
  <c r="G11" i="6" s="1"/>
  <c r="E50" i="14"/>
  <c r="H28" i="14"/>
  <c r="H29" i="5" s="1"/>
  <c r="D50" i="14"/>
  <c r="D62" i="14" s="1"/>
  <c r="G27" i="14"/>
  <c r="G28" i="5" s="1"/>
  <c r="G24" i="5" s="1"/>
  <c r="H11" i="6" s="1"/>
  <c r="I23" i="5"/>
  <c r="I17" i="5"/>
  <c r="H22" i="5"/>
  <c r="H18" i="5" s="1"/>
  <c r="H16" i="5"/>
  <c r="H12" i="5" s="1"/>
  <c r="F23" i="14"/>
  <c r="F49" i="14" s="1"/>
  <c r="F48" i="14" s="1"/>
  <c r="T30" i="12"/>
  <c r="T49" i="12" s="1"/>
  <c r="U22" i="5"/>
  <c r="W10" i="14"/>
  <c r="V16" i="5" s="1"/>
  <c r="J11" i="14"/>
  <c r="I10" i="14"/>
  <c r="W11" i="14"/>
  <c r="V17" i="5" s="1"/>
  <c r="U27" i="14"/>
  <c r="U17" i="14"/>
  <c r="U34" i="14" s="1"/>
  <c r="U30" i="14" s="1"/>
  <c r="P30" i="13"/>
  <c r="D50" i="13"/>
  <c r="Q50" i="13"/>
  <c r="AC50" i="13" s="1"/>
  <c r="U48" i="12"/>
  <c r="U47" i="12" s="1"/>
  <c r="W25" i="12"/>
  <c r="V26" i="5" s="1"/>
  <c r="X8" i="12"/>
  <c r="V24" i="12"/>
  <c r="V17" i="12"/>
  <c r="J35" i="12"/>
  <c r="J34" i="12"/>
  <c r="M9" i="12"/>
  <c r="I49" i="12"/>
  <c r="K26" i="12"/>
  <c r="K17" i="12"/>
  <c r="U35" i="12"/>
  <c r="U34" i="12"/>
  <c r="Y26" i="12"/>
  <c r="X27" i="5" s="1"/>
  <c r="Z9" i="12"/>
  <c r="X7" i="12"/>
  <c r="J48" i="12"/>
  <c r="J47" i="12" s="1"/>
  <c r="F17" i="6" l="1"/>
  <c r="C24" i="15" s="1"/>
  <c r="H15" i="6"/>
  <c r="H16" i="6" s="1"/>
  <c r="H14" i="6" s="1"/>
  <c r="H36" i="6"/>
  <c r="G15" i="6"/>
  <c r="G16" i="6" s="1"/>
  <c r="G14" i="6" s="1"/>
  <c r="G36" i="6"/>
  <c r="H23" i="6"/>
  <c r="H17" i="6" s="1"/>
  <c r="E24" i="15" s="1"/>
  <c r="G23" i="6"/>
  <c r="G17" i="6" s="1"/>
  <c r="D24" i="15" s="1"/>
  <c r="K23" i="12"/>
  <c r="K27" i="5"/>
  <c r="V23" i="12"/>
  <c r="U25" i="5"/>
  <c r="G23" i="14"/>
  <c r="G49" i="14" s="1"/>
  <c r="G48" i="14" s="1"/>
  <c r="T28" i="5"/>
  <c r="V28" i="14"/>
  <c r="U29" i="5" s="1"/>
  <c r="U23" i="5"/>
  <c r="H27" i="14"/>
  <c r="H23" i="14" s="1"/>
  <c r="H49" i="14" s="1"/>
  <c r="H48" i="14" s="1"/>
  <c r="I28" i="14"/>
  <c r="I29" i="5" s="1"/>
  <c r="J29" i="14"/>
  <c r="I30" i="5"/>
  <c r="F50" i="14"/>
  <c r="I16" i="5"/>
  <c r="I12" i="5" s="1"/>
  <c r="I22" i="5"/>
  <c r="I18" i="5" s="1"/>
  <c r="J23" i="5"/>
  <c r="J17" i="5"/>
  <c r="U30" i="12"/>
  <c r="U49" i="12" s="1"/>
  <c r="X11" i="14"/>
  <c r="W17" i="5" s="1"/>
  <c r="J10" i="14"/>
  <c r="K11" i="14"/>
  <c r="J28" i="14"/>
  <c r="J29" i="5" s="1"/>
  <c r="X10" i="14"/>
  <c r="W16" i="5" s="1"/>
  <c r="V22" i="5"/>
  <c r="V27" i="14"/>
  <c r="V17" i="14"/>
  <c r="V34" i="14" s="1"/>
  <c r="V30" i="14" s="1"/>
  <c r="D63" i="14"/>
  <c r="E62" i="14"/>
  <c r="P50" i="13"/>
  <c r="D60" i="13" s="1"/>
  <c r="D62" i="13"/>
  <c r="Z26" i="12"/>
  <c r="Y27" i="5" s="1"/>
  <c r="AA9" i="12"/>
  <c r="Y7" i="12"/>
  <c r="K48" i="12"/>
  <c r="K47" i="12" s="1"/>
  <c r="L26" i="12"/>
  <c r="L17" i="12"/>
  <c r="J30" i="12"/>
  <c r="V34" i="12"/>
  <c r="V30" i="12" s="1"/>
  <c r="X25" i="12"/>
  <c r="W26" i="5" s="1"/>
  <c r="Y8" i="12"/>
  <c r="W17" i="12"/>
  <c r="W34" i="12" s="1"/>
  <c r="W30" i="12" s="1"/>
  <c r="W24" i="12"/>
  <c r="K35" i="12"/>
  <c r="K34" i="12"/>
  <c r="N9" i="12"/>
  <c r="V48" i="12"/>
  <c r="V47" i="12" s="1"/>
  <c r="G50" i="14" l="1"/>
  <c r="L23" i="12"/>
  <c r="L27" i="5"/>
  <c r="W23" i="12"/>
  <c r="V25" i="5"/>
  <c r="K30" i="12"/>
  <c r="K49" i="12" s="1"/>
  <c r="H28" i="5"/>
  <c r="H24" i="5" s="1"/>
  <c r="I11" i="6" s="1"/>
  <c r="W28" i="14"/>
  <c r="V29" i="5" s="1"/>
  <c r="V23" i="5"/>
  <c r="U28" i="5"/>
  <c r="K29" i="14"/>
  <c r="J30" i="5"/>
  <c r="J22" i="5"/>
  <c r="J18" i="5" s="1"/>
  <c r="J16" i="5"/>
  <c r="J12" i="5" s="1"/>
  <c r="K23" i="5"/>
  <c r="K17" i="5"/>
  <c r="I27" i="14"/>
  <c r="H50" i="14"/>
  <c r="W27" i="14"/>
  <c r="W17" i="14"/>
  <c r="K28" i="14"/>
  <c r="K29" i="5" s="1"/>
  <c r="L11" i="14"/>
  <c r="Y11" i="14"/>
  <c r="X17" i="5" s="1"/>
  <c r="E63" i="14"/>
  <c r="F62" i="14"/>
  <c r="W22" i="5"/>
  <c r="Y10" i="14"/>
  <c r="X16" i="5" s="1"/>
  <c r="J27" i="14"/>
  <c r="K10" i="14"/>
  <c r="D63" i="13"/>
  <c r="E62" i="13"/>
  <c r="M26" i="12"/>
  <c r="M17" i="12"/>
  <c r="W48" i="12"/>
  <c r="W47" i="12" s="1"/>
  <c r="Y25" i="12"/>
  <c r="X26" i="5" s="1"/>
  <c r="AC8" i="12"/>
  <c r="J49" i="12"/>
  <c r="V49" i="12"/>
  <c r="O9" i="12"/>
  <c r="L35" i="12"/>
  <c r="L34" i="12"/>
  <c r="Z7" i="12"/>
  <c r="L48" i="12"/>
  <c r="L47" i="12" s="1"/>
  <c r="X24" i="12"/>
  <c r="X17" i="12"/>
  <c r="AB9" i="12"/>
  <c r="I15" i="6" l="1"/>
  <c r="I16" i="6" s="1"/>
  <c r="I14" i="6" s="1"/>
  <c r="I36" i="6"/>
  <c r="I23" i="6"/>
  <c r="X23" i="12"/>
  <c r="X48" i="12" s="1"/>
  <c r="X47" i="12" s="1"/>
  <c r="W25" i="5"/>
  <c r="M23" i="12"/>
  <c r="M48" i="12" s="1"/>
  <c r="M47" i="12" s="1"/>
  <c r="M27" i="5"/>
  <c r="X28" i="14"/>
  <c r="W29" i="5" s="1"/>
  <c r="W23" i="5"/>
  <c r="V28" i="5"/>
  <c r="L29" i="14"/>
  <c r="K30" i="5"/>
  <c r="J23" i="14"/>
  <c r="J49" i="14" s="1"/>
  <c r="J48" i="14" s="1"/>
  <c r="J28" i="5"/>
  <c r="J24" i="5" s="1"/>
  <c r="K11" i="6" s="1"/>
  <c r="L23" i="5"/>
  <c r="L17" i="5"/>
  <c r="K22" i="5"/>
  <c r="K18" i="5" s="1"/>
  <c r="K16" i="5"/>
  <c r="K12" i="5" s="1"/>
  <c r="I23" i="14"/>
  <c r="I49" i="14" s="1"/>
  <c r="I48" i="14" s="1"/>
  <c r="I28" i="5"/>
  <c r="I24" i="5" s="1"/>
  <c r="J11" i="6" s="1"/>
  <c r="I50" i="14"/>
  <c r="L30" i="12"/>
  <c r="L49" i="12" s="1"/>
  <c r="P9" i="12"/>
  <c r="W49" i="12"/>
  <c r="X27" i="14"/>
  <c r="X17" i="14"/>
  <c r="X34" i="14" s="1"/>
  <c r="X30" i="14" s="1"/>
  <c r="F63" i="14"/>
  <c r="G62" i="14"/>
  <c r="Z11" i="14"/>
  <c r="Y17" i="5" s="1"/>
  <c r="L28" i="14"/>
  <c r="L29" i="5" s="1"/>
  <c r="M11" i="14"/>
  <c r="W34" i="14"/>
  <c r="W30" i="14" s="1"/>
  <c r="K27" i="14"/>
  <c r="L10" i="14"/>
  <c r="X22" i="5"/>
  <c r="Z10" i="14"/>
  <c r="Y16" i="5" s="1"/>
  <c r="E63" i="13"/>
  <c r="F62" i="13"/>
  <c r="AA26" i="12"/>
  <c r="AA17" i="12"/>
  <c r="AA34" i="12" s="1"/>
  <c r="AA30" i="12" s="1"/>
  <c r="X34" i="12"/>
  <c r="X30" i="12" s="1"/>
  <c r="Y17" i="12"/>
  <c r="Y34" i="12" s="1"/>
  <c r="Y30" i="12" s="1"/>
  <c r="Y24" i="12"/>
  <c r="O26" i="12"/>
  <c r="O17" i="12"/>
  <c r="M35" i="12"/>
  <c r="M34" i="12"/>
  <c r="AC9" i="12"/>
  <c r="AB26" i="12"/>
  <c r="AB17" i="12"/>
  <c r="AB34" i="12" s="1"/>
  <c r="AB30" i="12" s="1"/>
  <c r="AC7" i="12"/>
  <c r="N26" i="12"/>
  <c r="N17" i="12"/>
  <c r="I17" i="6" l="1"/>
  <c r="F24" i="15" s="1"/>
  <c r="J15" i="6"/>
  <c r="J16" i="6" s="1"/>
  <c r="J14" i="6" s="1"/>
  <c r="J36" i="6"/>
  <c r="K15" i="6"/>
  <c r="K16" i="6" s="1"/>
  <c r="K14" i="6" s="1"/>
  <c r="K36" i="6"/>
  <c r="J23" i="6"/>
  <c r="J17" i="6" s="1"/>
  <c r="G24" i="15" s="1"/>
  <c r="K23" i="6"/>
  <c r="K17" i="6" s="1"/>
  <c r="H24" i="15" s="1"/>
  <c r="O23" i="12"/>
  <c r="O27" i="5"/>
  <c r="N23" i="12"/>
  <c r="N27" i="5"/>
  <c r="AB23" i="12"/>
  <c r="AB48" i="12" s="1"/>
  <c r="AB47" i="12" s="1"/>
  <c r="AA27" i="5"/>
  <c r="Y23" i="12"/>
  <c r="X25" i="5"/>
  <c r="AA23" i="12"/>
  <c r="AA48" i="12" s="1"/>
  <c r="AA47" i="12" s="1"/>
  <c r="Z27" i="5"/>
  <c r="Y28" i="14"/>
  <c r="X29" i="5" s="1"/>
  <c r="X23" i="5"/>
  <c r="W28" i="5"/>
  <c r="M29" i="14"/>
  <c r="L30" i="5"/>
  <c r="K23" i="14"/>
  <c r="K49" i="14" s="1"/>
  <c r="K48" i="14" s="1"/>
  <c r="K28" i="5"/>
  <c r="K24" i="5" s="1"/>
  <c r="L11" i="6" s="1"/>
  <c r="M23" i="5"/>
  <c r="M17" i="5"/>
  <c r="L22" i="5"/>
  <c r="L18" i="5" s="1"/>
  <c r="L16" i="5"/>
  <c r="L12" i="5" s="1"/>
  <c r="X49" i="12"/>
  <c r="Y27" i="14"/>
  <c r="Y17" i="14"/>
  <c r="Y22" i="5"/>
  <c r="AA10" i="14"/>
  <c r="Z16" i="5" s="1"/>
  <c r="M10" i="14"/>
  <c r="N11" i="14"/>
  <c r="AA11" i="14"/>
  <c r="Z17" i="5" s="1"/>
  <c r="G63" i="14"/>
  <c r="H62" i="14"/>
  <c r="J50" i="14"/>
  <c r="F63" i="13"/>
  <c r="G62" i="13"/>
  <c r="N48" i="12"/>
  <c r="N47" i="12" s="1"/>
  <c r="Z24" i="12"/>
  <c r="Z17" i="12"/>
  <c r="O35" i="12"/>
  <c r="O34" i="12"/>
  <c r="Y48" i="12"/>
  <c r="Y47" i="12" s="1"/>
  <c r="N35" i="12"/>
  <c r="N34" i="12"/>
  <c r="M30" i="12"/>
  <c r="M49" i="12" s="1"/>
  <c r="O48" i="12"/>
  <c r="O47" i="12" s="1"/>
  <c r="L15" i="6" l="1"/>
  <c r="L16" i="6" s="1"/>
  <c r="L14" i="6" s="1"/>
  <c r="L36" i="6"/>
  <c r="L23" i="6"/>
  <c r="L17" i="6" s="1"/>
  <c r="I24" i="15" s="1"/>
  <c r="Z23" i="12"/>
  <c r="Y25" i="5"/>
  <c r="AA49" i="12"/>
  <c r="O30" i="12"/>
  <c r="AB49" i="12"/>
  <c r="N30" i="12"/>
  <c r="N49" i="12" s="1"/>
  <c r="M28" i="14"/>
  <c r="M29" i="5" s="1"/>
  <c r="L27" i="14"/>
  <c r="L28" i="5" s="1"/>
  <c r="L24" i="5" s="1"/>
  <c r="M11" i="6" s="1"/>
  <c r="Z28" i="14"/>
  <c r="Y29" i="5" s="1"/>
  <c r="Y23" i="5"/>
  <c r="X28" i="5"/>
  <c r="N29" i="14"/>
  <c r="M30" i="5"/>
  <c r="N23" i="5"/>
  <c r="N17" i="5"/>
  <c r="M16" i="5"/>
  <c r="M12" i="5" s="1"/>
  <c r="M22" i="5"/>
  <c r="M18" i="5" s="1"/>
  <c r="L23" i="14"/>
  <c r="L49" i="14" s="1"/>
  <c r="L48" i="14" s="1"/>
  <c r="K50" i="14"/>
  <c r="H63" i="14"/>
  <c r="I62" i="14"/>
  <c r="AB11" i="14"/>
  <c r="AA17" i="5" s="1"/>
  <c r="O11" i="14"/>
  <c r="N28" i="14"/>
  <c r="N29" i="5" s="1"/>
  <c r="P11" i="14"/>
  <c r="M27" i="14"/>
  <c r="N10" i="14"/>
  <c r="AB10" i="14"/>
  <c r="Z22" i="5"/>
  <c r="AC10" i="14"/>
  <c r="Z27" i="14"/>
  <c r="Z17" i="14"/>
  <c r="Z34" i="14" s="1"/>
  <c r="Z30" i="14" s="1"/>
  <c r="Y34" i="14"/>
  <c r="Y30" i="14" s="1"/>
  <c r="G63" i="13"/>
  <c r="H62" i="13"/>
  <c r="Z34" i="12"/>
  <c r="Z30" i="12" s="1"/>
  <c r="AC30" i="12" s="1"/>
  <c r="AC17" i="12"/>
  <c r="O49" i="12"/>
  <c r="Y49" i="12"/>
  <c r="Z48" i="12"/>
  <c r="Z47" i="12" s="1"/>
  <c r="AC47" i="12" s="1"/>
  <c r="AC23" i="12"/>
  <c r="M15" i="6" l="1"/>
  <c r="M16" i="6" s="1"/>
  <c r="M14" i="6" s="1"/>
  <c r="M36" i="6"/>
  <c r="M23" i="6"/>
  <c r="Y28" i="5"/>
  <c r="AA22" i="5"/>
  <c r="AA16" i="5"/>
  <c r="AA28" i="14"/>
  <c r="Z29" i="5" s="1"/>
  <c r="Z23" i="5"/>
  <c r="O29" i="14"/>
  <c r="N30" i="5"/>
  <c r="M23" i="14"/>
  <c r="M49" i="14" s="1"/>
  <c r="M48" i="14" s="1"/>
  <c r="M28" i="5"/>
  <c r="M24" i="5" s="1"/>
  <c r="N11" i="6" s="1"/>
  <c r="N22" i="5"/>
  <c r="N18" i="5" s="1"/>
  <c r="N16" i="5"/>
  <c r="N12" i="5" s="1"/>
  <c r="O23" i="5"/>
  <c r="O17" i="5"/>
  <c r="L50" i="14"/>
  <c r="AA27" i="14"/>
  <c r="AA17" i="14"/>
  <c r="AA34" i="14" s="1"/>
  <c r="AA30" i="14" s="1"/>
  <c r="O10" i="14"/>
  <c r="AC11" i="14"/>
  <c r="AB27" i="14"/>
  <c r="AA28" i="5" s="1"/>
  <c r="AB17" i="14"/>
  <c r="I63" i="14"/>
  <c r="J62" i="14"/>
  <c r="H63" i="13"/>
  <c r="I62" i="13"/>
  <c r="Z49" i="12"/>
  <c r="AC49" i="12" s="1"/>
  <c r="N15" i="6" l="1"/>
  <c r="N16" i="6" s="1"/>
  <c r="N14" i="6" s="1"/>
  <c r="N36" i="6"/>
  <c r="M17" i="6"/>
  <c r="J24" i="15" s="1"/>
  <c r="N23" i="6"/>
  <c r="N17" i="6" s="1"/>
  <c r="K24" i="15" s="1"/>
  <c r="N27" i="14"/>
  <c r="N28" i="5" s="1"/>
  <c r="N24" i="5" s="1"/>
  <c r="O11" i="6" s="1"/>
  <c r="Q29" i="14"/>
  <c r="O30" i="5"/>
  <c r="AB28" i="14"/>
  <c r="AA29" i="5" s="1"/>
  <c r="AA23" i="5"/>
  <c r="Z28" i="5"/>
  <c r="O22" i="5"/>
  <c r="O18" i="5" s="1"/>
  <c r="O16" i="5"/>
  <c r="O12" i="5" s="1"/>
  <c r="N23" i="14"/>
  <c r="N49" i="14" s="1"/>
  <c r="N48" i="14" s="1"/>
  <c r="O28" i="14"/>
  <c r="O29" i="5" s="1"/>
  <c r="J63" i="14"/>
  <c r="K62" i="14"/>
  <c r="AB34" i="14"/>
  <c r="AB30" i="14" s="1"/>
  <c r="AC30" i="14" s="1"/>
  <c r="AC17" i="14"/>
  <c r="O27" i="14"/>
  <c r="P10" i="14"/>
  <c r="M50" i="14"/>
  <c r="I63" i="13"/>
  <c r="J62" i="13"/>
  <c r="O15" i="6" l="1"/>
  <c r="O16" i="6" s="1"/>
  <c r="O14" i="6" s="1"/>
  <c r="O36" i="6"/>
  <c r="O23" i="6"/>
  <c r="O17" i="6" s="1"/>
  <c r="L24" i="15" s="1"/>
  <c r="R29" i="14"/>
  <c r="P30" i="5"/>
  <c r="Q23" i="14"/>
  <c r="O23" i="14"/>
  <c r="O49" i="14" s="1"/>
  <c r="O48" i="14" s="1"/>
  <c r="P48" i="14" s="1"/>
  <c r="O28" i="5"/>
  <c r="O24" i="5" s="1"/>
  <c r="P11" i="6" s="1"/>
  <c r="N50" i="14"/>
  <c r="K63" i="14"/>
  <c r="L62" i="14"/>
  <c r="J63" i="13"/>
  <c r="K62" i="13"/>
  <c r="P15" i="6" l="1"/>
  <c r="P16" i="6" s="1"/>
  <c r="P14" i="6" s="1"/>
  <c r="P36" i="6"/>
  <c r="P23" i="6"/>
  <c r="P17" i="6" s="1"/>
  <c r="M24" i="15" s="1"/>
  <c r="Q49" i="14"/>
  <c r="Q48" i="14" s="1"/>
  <c r="S29" i="14"/>
  <c r="Q30" i="5"/>
  <c r="R23" i="14"/>
  <c r="P23" i="14"/>
  <c r="O50" i="14"/>
  <c r="P50" i="14" s="1"/>
  <c r="D60" i="14" s="1"/>
  <c r="L63" i="14"/>
  <c r="M62" i="14"/>
  <c r="K63" i="13"/>
  <c r="L62" i="13"/>
  <c r="Q50" i="14" l="1"/>
  <c r="R49" i="14"/>
  <c r="R48" i="14" s="1"/>
  <c r="T29" i="14"/>
  <c r="R30" i="5"/>
  <c r="S23" i="14"/>
  <c r="M63" i="14"/>
  <c r="N62" i="14"/>
  <c r="L63" i="13"/>
  <c r="M62" i="13"/>
  <c r="S49" i="14" l="1"/>
  <c r="S48" i="14" s="1"/>
  <c r="U29" i="14"/>
  <c r="S30" i="5"/>
  <c r="T23" i="14"/>
  <c r="R50" i="14"/>
  <c r="N63" i="14"/>
  <c r="O62" i="14"/>
  <c r="M63" i="13"/>
  <c r="N62" i="13"/>
  <c r="S50" i="14" l="1"/>
  <c r="T49" i="14"/>
  <c r="T48" i="14" s="1"/>
  <c r="V29" i="14"/>
  <c r="T30" i="5"/>
  <c r="U23" i="14"/>
  <c r="O63" i="14"/>
  <c r="Q62" i="14"/>
  <c r="Q58" i="14"/>
  <c r="N63" i="13"/>
  <c r="O62" i="13"/>
  <c r="T50" i="14" l="1"/>
  <c r="U49" i="14"/>
  <c r="U48" i="14" s="1"/>
  <c r="W29" i="14"/>
  <c r="U30" i="5"/>
  <c r="V23" i="14"/>
  <c r="Q63" i="14"/>
  <c r="R62" i="14"/>
  <c r="O63" i="13"/>
  <c r="Q62" i="13"/>
  <c r="Q58" i="13"/>
  <c r="Q60" i="13" s="1"/>
  <c r="U50" i="14" l="1"/>
  <c r="V49" i="14"/>
  <c r="V48" i="14" s="1"/>
  <c r="X29" i="14"/>
  <c r="V30" i="5"/>
  <c r="W23" i="14"/>
  <c r="R63" i="14"/>
  <c r="S62" i="14"/>
  <c r="Q63" i="13"/>
  <c r="R62" i="13"/>
  <c r="V50" i="14" l="1"/>
  <c r="W49" i="14"/>
  <c r="W48" i="14" s="1"/>
  <c r="Y29" i="14"/>
  <c r="W30" i="5"/>
  <c r="X23" i="14"/>
  <c r="Q12" i="5"/>
  <c r="S63" i="14"/>
  <c r="T62" i="14"/>
  <c r="R63" i="13"/>
  <c r="S62" i="13"/>
  <c r="W50" i="14" l="1"/>
  <c r="X49" i="14"/>
  <c r="X48" i="14" s="1"/>
  <c r="Z29" i="14"/>
  <c r="X30" i="5"/>
  <c r="Y23" i="14"/>
  <c r="P18" i="5"/>
  <c r="R12" i="5"/>
  <c r="T63" i="14"/>
  <c r="U62" i="14"/>
  <c r="S63" i="13"/>
  <c r="T62" i="13"/>
  <c r="X50" i="14" l="1"/>
  <c r="Y49" i="14"/>
  <c r="Y48" i="14" s="1"/>
  <c r="AA29" i="14"/>
  <c r="Y30" i="5"/>
  <c r="Z23" i="14"/>
  <c r="S12" i="5"/>
  <c r="Q18" i="5"/>
  <c r="U63" i="14"/>
  <c r="V62" i="14"/>
  <c r="T63" i="13"/>
  <c r="U62" i="13"/>
  <c r="Y50" i="14" l="1"/>
  <c r="Z49" i="14"/>
  <c r="Z48" i="14" s="1"/>
  <c r="AB29" i="14"/>
  <c r="Z30" i="5"/>
  <c r="AA23" i="14"/>
  <c r="R18" i="5"/>
  <c r="T12" i="5"/>
  <c r="V63" i="14"/>
  <c r="W62" i="14"/>
  <c r="U63" i="13"/>
  <c r="V62" i="13"/>
  <c r="Z50" i="14" l="1"/>
  <c r="AA49" i="14"/>
  <c r="AA48" i="14" s="1"/>
  <c r="AA30" i="5"/>
  <c r="AB23" i="14"/>
  <c r="U12" i="5"/>
  <c r="S18" i="5"/>
  <c r="W63" i="14"/>
  <c r="X62" i="14"/>
  <c r="V63" i="13"/>
  <c r="W62" i="13"/>
  <c r="AA50" i="14" l="1"/>
  <c r="AB49" i="14"/>
  <c r="AB48" i="14" s="1"/>
  <c r="AC48" i="14" s="1"/>
  <c r="AC23" i="14"/>
  <c r="T18" i="5"/>
  <c r="V12" i="5"/>
  <c r="X63" i="14"/>
  <c r="Y62" i="14"/>
  <c r="W63" i="13"/>
  <c r="X62" i="13"/>
  <c r="AB50" i="14" l="1"/>
  <c r="AC50" i="14" s="1"/>
  <c r="Q60" i="14" s="1"/>
  <c r="W12" i="5"/>
  <c r="U18" i="5"/>
  <c r="Y63" i="14"/>
  <c r="Z62" i="14"/>
  <c r="X63" i="13"/>
  <c r="Y62" i="13"/>
  <c r="V18" i="5" l="1"/>
  <c r="X12" i="5"/>
  <c r="Z63" i="14"/>
  <c r="AA62" i="14"/>
  <c r="Y63" i="13"/>
  <c r="Z62" i="13"/>
  <c r="Y12" i="5" l="1"/>
  <c r="W18" i="5"/>
  <c r="AA63" i="14"/>
  <c r="AB62" i="14"/>
  <c r="AB63" i="14" s="1"/>
  <c r="Z63" i="13"/>
  <c r="AA62" i="13"/>
  <c r="X18" i="5" l="1"/>
  <c r="Z12" i="5"/>
  <c r="AA63" i="13"/>
  <c r="AB62" i="13"/>
  <c r="AB63" i="13" s="1"/>
  <c r="Y18" i="5" l="1"/>
  <c r="AA12" i="5" l="1"/>
  <c r="Z18" i="5"/>
  <c r="AA18" i="5" l="1"/>
  <c r="P24" i="5" l="1"/>
  <c r="Q11" i="6" s="1"/>
  <c r="Q24" i="5"/>
  <c r="R11" i="6" s="1"/>
  <c r="R15" i="6" l="1"/>
  <c r="R16" i="6" s="1"/>
  <c r="R14" i="6" s="1"/>
  <c r="R36" i="6"/>
  <c r="Q15" i="6"/>
  <c r="Q16" i="6" s="1"/>
  <c r="Q14" i="6" s="1"/>
  <c r="Q36" i="6"/>
  <c r="R23" i="6"/>
  <c r="R17" i="6" s="1"/>
  <c r="O24" i="15" s="1"/>
  <c r="Q23" i="6"/>
  <c r="Q17" i="6" s="1"/>
  <c r="N24" i="15" s="1"/>
  <c r="R24" i="5"/>
  <c r="S11" i="6" s="1"/>
  <c r="S15" i="6" l="1"/>
  <c r="S16" i="6" s="1"/>
  <c r="S14" i="6" s="1"/>
  <c r="S36" i="6"/>
  <c r="S23" i="6"/>
  <c r="S17" i="6" s="1"/>
  <c r="P24" i="15" s="1"/>
  <c r="S24" i="5"/>
  <c r="T11" i="6" s="1"/>
  <c r="T15" i="6" l="1"/>
  <c r="T16" i="6" s="1"/>
  <c r="T14" i="6" s="1"/>
  <c r="T36" i="6"/>
  <c r="T23" i="6"/>
  <c r="T17" i="6" s="1"/>
  <c r="Q24" i="15" s="1"/>
  <c r="T24" i="5"/>
  <c r="U11" i="6" s="1"/>
  <c r="U24" i="5"/>
  <c r="V11" i="6" s="1"/>
  <c r="V15" i="6" l="1"/>
  <c r="V16" i="6" s="1"/>
  <c r="V14" i="6" s="1"/>
  <c r="V36" i="6"/>
  <c r="U15" i="6"/>
  <c r="U16" i="6" s="1"/>
  <c r="U14" i="6" s="1"/>
  <c r="U36" i="6"/>
  <c r="V23" i="6"/>
  <c r="V17" i="6" s="1"/>
  <c r="S24" i="15" s="1"/>
  <c r="U23" i="6"/>
  <c r="U17" i="6" s="1"/>
  <c r="R24" i="15" s="1"/>
  <c r="V24" i="5"/>
  <c r="W11" i="6" s="1"/>
  <c r="W15" i="6" l="1"/>
  <c r="W16" i="6" s="1"/>
  <c r="W14" i="6" s="1"/>
  <c r="W36" i="6"/>
  <c r="W23" i="6"/>
  <c r="W17" i="6" s="1"/>
  <c r="T24" i="15" s="1"/>
  <c r="W24" i="5"/>
  <c r="X11" i="6" s="1"/>
  <c r="X15" i="6" l="1"/>
  <c r="X16" i="6" s="1"/>
  <c r="X14" i="6" s="1"/>
  <c r="X36" i="6"/>
  <c r="X23" i="6"/>
  <c r="X17" i="6" s="1"/>
  <c r="U24" i="15" s="1"/>
  <c r="X24" i="5"/>
  <c r="Y11" i="6" s="1"/>
  <c r="Y15" i="6" l="1"/>
  <c r="Y16" i="6" s="1"/>
  <c r="Y14" i="6" s="1"/>
  <c r="Y36" i="6"/>
  <c r="Y23" i="6"/>
  <c r="Y17" i="6" s="1"/>
  <c r="V24" i="15" s="1"/>
  <c r="Y24" i="5"/>
  <c r="Z11" i="6" s="1"/>
  <c r="AA24" i="5"/>
  <c r="AB11" i="6" s="1"/>
  <c r="AB15" i="6" l="1"/>
  <c r="AB16" i="6" s="1"/>
  <c r="AB14" i="6" s="1"/>
  <c r="AB36" i="6"/>
  <c r="Z15" i="6"/>
  <c r="Z16" i="6" s="1"/>
  <c r="Z14" i="6" s="1"/>
  <c r="Z36" i="6"/>
  <c r="Z23" i="6"/>
  <c r="Z17" i="6" s="1"/>
  <c r="W24" i="15" s="1"/>
  <c r="AB23" i="6"/>
  <c r="Z24" i="5"/>
  <c r="AA11" i="6" s="1"/>
  <c r="AA15" i="6" l="1"/>
  <c r="AA16" i="6" s="1"/>
  <c r="AA14" i="6" s="1"/>
  <c r="AA36" i="6"/>
  <c r="AB17" i="6"/>
  <c r="Y24" i="15" s="1"/>
  <c r="AA23" i="6"/>
  <c r="AA17" i="6" s="1"/>
  <c r="X24" i="15" s="1"/>
  <c r="F41" i="11"/>
  <c r="K25" i="15" l="1"/>
  <c r="E25" i="15"/>
  <c r="J25" i="15"/>
  <c r="G25" i="15"/>
  <c r="D25" i="15"/>
  <c r="K23" i="15"/>
  <c r="D23" i="15"/>
  <c r="J23" i="15"/>
  <c r="F23" i="15"/>
  <c r="E23" i="15"/>
  <c r="B23" i="15"/>
  <c r="H23" i="15"/>
  <c r="I23" i="15"/>
  <c r="C23" i="15"/>
  <c r="L23" i="15"/>
  <c r="G23" i="15"/>
  <c r="L25" i="15"/>
  <c r="H25" i="15"/>
  <c r="B25" i="15"/>
  <c r="I25" i="15"/>
  <c r="F25" i="15"/>
  <c r="C25" i="15"/>
  <c r="D23" i="6"/>
  <c r="D17" i="6" s="1"/>
  <c r="F25" i="4"/>
  <c r="F24" i="4"/>
  <c r="C25" i="4"/>
  <c r="C24" i="4"/>
  <c r="C23" i="4"/>
  <c r="F40" i="11" s="1"/>
  <c r="F22" i="4"/>
  <c r="F21" i="4" s="1"/>
  <c r="G39" i="11" s="1"/>
  <c r="C22" i="4"/>
  <c r="C21" i="4"/>
  <c r="F39" i="11" s="1"/>
  <c r="F20" i="4"/>
  <c r="F19" i="4" s="1"/>
  <c r="G38" i="11" s="1"/>
  <c r="G37" i="11"/>
  <c r="G41" i="11"/>
  <c r="F23" i="4" l="1"/>
  <c r="G40" i="11" s="1"/>
  <c r="F12" i="4"/>
  <c r="G36" i="11" s="1"/>
  <c r="F27" i="4" l="1"/>
  <c r="E28" i="6" s="1"/>
  <c r="D28" i="6" s="1"/>
  <c r="F37" i="2"/>
  <c r="F38" i="2"/>
  <c r="F36" i="2"/>
  <c r="F35" i="2"/>
  <c r="G28" i="2" l="1"/>
  <c r="B18" i="9"/>
  <c r="B19" i="9" s="1"/>
  <c r="E27" i="6" s="1"/>
  <c r="AJ20" i="9" l="1"/>
  <c r="AH20" i="9"/>
  <c r="AF20" i="9"/>
  <c r="AD20" i="9"/>
  <c r="AB20" i="9"/>
  <c r="Z20" i="9"/>
  <c r="X20" i="9"/>
  <c r="AA26" i="6" s="1"/>
  <c r="V20" i="9"/>
  <c r="Y26" i="6" s="1"/>
  <c r="T20" i="9"/>
  <c r="W26" i="6" s="1"/>
  <c r="R20" i="9"/>
  <c r="U26" i="6" s="1"/>
  <c r="P20" i="9"/>
  <c r="S26" i="6" s="1"/>
  <c r="N20" i="9"/>
  <c r="Q26" i="6" s="1"/>
  <c r="L20" i="9"/>
  <c r="O26" i="6" s="1"/>
  <c r="J20" i="9"/>
  <c r="M26" i="6" s="1"/>
  <c r="H20" i="9"/>
  <c r="K26" i="6" s="1"/>
  <c r="F20" i="9"/>
  <c r="I26" i="6" s="1"/>
  <c r="D20" i="9"/>
  <c r="G26" i="6" s="1"/>
  <c r="B20" i="9"/>
  <c r="E26" i="6" s="1"/>
  <c r="E25" i="6" s="1"/>
  <c r="AJ18" i="9"/>
  <c r="AJ19" i="9" s="1"/>
  <c r="AJ21" i="9" s="1"/>
  <c r="AH18" i="9"/>
  <c r="AH19" i="9" s="1"/>
  <c r="AH21" i="9" s="1"/>
  <c r="AF18" i="9"/>
  <c r="AF19" i="9" s="1"/>
  <c r="AF21" i="9" s="1"/>
  <c r="AD18" i="9"/>
  <c r="AD19" i="9" s="1"/>
  <c r="AD21" i="9" s="1"/>
  <c r="AB18" i="9"/>
  <c r="AB19" i="9" s="1"/>
  <c r="AB21" i="9" s="1"/>
  <c r="Z18" i="9"/>
  <c r="Z19" i="9" s="1"/>
  <c r="Z21" i="9" s="1"/>
  <c r="AK20" i="9"/>
  <c r="AI20" i="9"/>
  <c r="AG20" i="9"/>
  <c r="AE20" i="9"/>
  <c r="AC20" i="9"/>
  <c r="AA20" i="9"/>
  <c r="Y20" i="9"/>
  <c r="AB26" i="6" s="1"/>
  <c r="W20" i="9"/>
  <c r="Z26" i="6" s="1"/>
  <c r="U20" i="9"/>
  <c r="X26" i="6" s="1"/>
  <c r="S20" i="9"/>
  <c r="V26" i="6" s="1"/>
  <c r="Q20" i="9"/>
  <c r="T26" i="6" s="1"/>
  <c r="O20" i="9"/>
  <c r="R26" i="6" s="1"/>
  <c r="M20" i="9"/>
  <c r="P26" i="6" s="1"/>
  <c r="K20" i="9"/>
  <c r="N26" i="6" s="1"/>
  <c r="I20" i="9"/>
  <c r="L26" i="6" s="1"/>
  <c r="G20" i="9"/>
  <c r="J26" i="6" s="1"/>
  <c r="E20" i="9"/>
  <c r="H26" i="6" s="1"/>
  <c r="C20" i="9"/>
  <c r="F26" i="6" s="1"/>
  <c r="AK18" i="9"/>
  <c r="AK19" i="9" s="1"/>
  <c r="AK21" i="9" s="1"/>
  <c r="AI18" i="9"/>
  <c r="AI19" i="9" s="1"/>
  <c r="AI21" i="9" s="1"/>
  <c r="AG18" i="9"/>
  <c r="AG19" i="9" s="1"/>
  <c r="AG21" i="9" s="1"/>
  <c r="AE18" i="9"/>
  <c r="AE19" i="9" s="1"/>
  <c r="AE21" i="9" s="1"/>
  <c r="AC18" i="9"/>
  <c r="AC19" i="9" s="1"/>
  <c r="AC21" i="9" s="1"/>
  <c r="AA18" i="9"/>
  <c r="AA19" i="9" s="1"/>
  <c r="AA21" i="9" s="1"/>
  <c r="Y18" i="9"/>
  <c r="Y19" i="9" s="1"/>
  <c r="C18" i="9"/>
  <c r="C19" i="9" s="1"/>
  <c r="F27" i="6" s="1"/>
  <c r="C9" i="9"/>
  <c r="E9" i="9"/>
  <c r="G9" i="9"/>
  <c r="I9" i="9"/>
  <c r="K9" i="9"/>
  <c r="M9" i="9"/>
  <c r="O9" i="9"/>
  <c r="Q9" i="9"/>
  <c r="S9" i="9"/>
  <c r="U9" i="9"/>
  <c r="W9" i="9"/>
  <c r="Y9" i="9"/>
  <c r="AA9" i="9"/>
  <c r="AC9" i="9"/>
  <c r="AE9" i="9"/>
  <c r="AG9" i="9"/>
  <c r="AI9" i="9"/>
  <c r="AK9" i="9"/>
  <c r="B8" i="9"/>
  <c r="B9" i="9"/>
  <c r="D9" i="9"/>
  <c r="F9" i="9"/>
  <c r="H9" i="9"/>
  <c r="J9" i="9"/>
  <c r="L9" i="9"/>
  <c r="N9" i="9"/>
  <c r="P9" i="9"/>
  <c r="R9" i="9"/>
  <c r="T9" i="9"/>
  <c r="V9" i="9"/>
  <c r="X9" i="9"/>
  <c r="Z9" i="9"/>
  <c r="AB9" i="9"/>
  <c r="AD9" i="9"/>
  <c r="AF9" i="9"/>
  <c r="AH9" i="9"/>
  <c r="AJ9" i="9"/>
  <c r="Y21" i="9" l="1"/>
  <c r="AB27" i="6"/>
  <c r="C21" i="9"/>
  <c r="B21" i="9"/>
  <c r="AJ11" i="9"/>
  <c r="AJ10" i="9"/>
  <c r="AB11" i="9"/>
  <c r="AB10" i="9"/>
  <c r="T11" i="9"/>
  <c r="T10" i="9"/>
  <c r="P11" i="9"/>
  <c r="P10" i="9"/>
  <c r="H11" i="9"/>
  <c r="H10" i="9"/>
  <c r="AE11" i="9"/>
  <c r="AE10" i="9"/>
  <c r="AH11" i="9"/>
  <c r="AH10" i="9"/>
  <c r="AD11" i="9"/>
  <c r="AD10" i="9"/>
  <c r="Z11" i="9"/>
  <c r="Z10" i="9"/>
  <c r="V11" i="9"/>
  <c r="V10" i="9"/>
  <c r="R11" i="9"/>
  <c r="R10" i="9"/>
  <c r="N11" i="9"/>
  <c r="N10" i="9"/>
  <c r="J11" i="9"/>
  <c r="J10" i="9"/>
  <c r="F11" i="9"/>
  <c r="F10" i="9"/>
  <c r="B13" i="9"/>
  <c r="B11" i="9"/>
  <c r="B10" i="9"/>
  <c r="C8" i="9" s="1"/>
  <c r="AK11" i="9"/>
  <c r="AK10" i="9"/>
  <c r="AG11" i="9"/>
  <c r="AG10" i="9"/>
  <c r="AC11" i="9"/>
  <c r="AC10" i="9"/>
  <c r="Y11" i="9"/>
  <c r="Y10" i="9"/>
  <c r="U11" i="9"/>
  <c r="U10" i="9"/>
  <c r="Q11" i="9"/>
  <c r="Q10" i="9"/>
  <c r="M11" i="9"/>
  <c r="M10" i="9"/>
  <c r="I11" i="9"/>
  <c r="I10" i="9"/>
  <c r="E11" i="9"/>
  <c r="E10" i="9"/>
  <c r="D18" i="9"/>
  <c r="AF11" i="9"/>
  <c r="AF10" i="9"/>
  <c r="X11" i="9"/>
  <c r="X10" i="9"/>
  <c r="L11" i="9"/>
  <c r="L10" i="9"/>
  <c r="D11" i="9"/>
  <c r="D10" i="9"/>
  <c r="B12" i="9"/>
  <c r="AI11" i="9"/>
  <c r="AI10" i="9"/>
  <c r="AA11" i="9"/>
  <c r="AA10" i="9"/>
  <c r="W11" i="9"/>
  <c r="W10" i="9"/>
  <c r="S11" i="9"/>
  <c r="S10" i="9"/>
  <c r="O11" i="9"/>
  <c r="O10" i="9"/>
  <c r="K11" i="9"/>
  <c r="K10" i="9"/>
  <c r="G11" i="9"/>
  <c r="G10" i="9"/>
  <c r="C11" i="9"/>
  <c r="C10" i="9"/>
  <c r="F25" i="6" l="1"/>
  <c r="D26" i="6"/>
  <c r="D8" i="9"/>
  <c r="C12" i="9"/>
  <c r="D19" i="9"/>
  <c r="G27" i="6" s="1"/>
  <c r="G25" i="6" s="1"/>
  <c r="G12" i="6" s="1"/>
  <c r="E18" i="9"/>
  <c r="F12" i="6" l="1"/>
  <c r="B49" i="8" s="1"/>
  <c r="F35" i="6" s="1"/>
  <c r="F30" i="6" s="1"/>
  <c r="G29" i="6"/>
  <c r="C49" i="8"/>
  <c r="G35" i="6" s="1"/>
  <c r="G30" i="6" s="1"/>
  <c r="D21" i="9"/>
  <c r="D12" i="9"/>
  <c r="E8" i="9"/>
  <c r="E19" i="9"/>
  <c r="H27" i="6" s="1"/>
  <c r="F18" i="9"/>
  <c r="F29" i="6" l="1"/>
  <c r="F31" i="6" s="1"/>
  <c r="G31" i="6"/>
  <c r="H25" i="6"/>
  <c r="E21" i="9"/>
  <c r="F19" i="9"/>
  <c r="I27" i="6" s="1"/>
  <c r="I25" i="6" s="1"/>
  <c r="I12" i="6" s="1"/>
  <c r="G18" i="9"/>
  <c r="F8" i="9"/>
  <c r="E12" i="9"/>
  <c r="H12" i="6" l="1"/>
  <c r="D49" i="8" s="1"/>
  <c r="H35" i="6" s="1"/>
  <c r="H30" i="6" s="1"/>
  <c r="I29" i="6"/>
  <c r="E49" i="8"/>
  <c r="I35" i="6" s="1"/>
  <c r="I30" i="6" s="1"/>
  <c r="F21" i="9"/>
  <c r="F12" i="9"/>
  <c r="G8" i="9"/>
  <c r="G19" i="9"/>
  <c r="J27" i="6" s="1"/>
  <c r="J25" i="6" s="1"/>
  <c r="J12" i="6" s="1"/>
  <c r="H18" i="9"/>
  <c r="H29" i="6" l="1"/>
  <c r="H31" i="6" s="1"/>
  <c r="J29" i="6"/>
  <c r="F49" i="8"/>
  <c r="J35" i="6" s="1"/>
  <c r="J30" i="6" s="1"/>
  <c r="I31" i="6"/>
  <c r="G21" i="9"/>
  <c r="H19" i="9"/>
  <c r="K27" i="6" s="1"/>
  <c r="K25" i="6" s="1"/>
  <c r="K12" i="6" s="1"/>
  <c r="I18" i="9"/>
  <c r="H8" i="9"/>
  <c r="G12" i="9"/>
  <c r="K29" i="6" l="1"/>
  <c r="G49" i="8"/>
  <c r="K35" i="6" s="1"/>
  <c r="K30" i="6" s="1"/>
  <c r="J31" i="6"/>
  <c r="H21" i="9"/>
  <c r="H12" i="9"/>
  <c r="I8" i="9"/>
  <c r="I19" i="9"/>
  <c r="L27" i="6" s="1"/>
  <c r="L25" i="6" s="1"/>
  <c r="L12" i="6" s="1"/>
  <c r="J18" i="9"/>
  <c r="L29" i="6" l="1"/>
  <c r="H49" i="8"/>
  <c r="L35" i="6" s="1"/>
  <c r="L30" i="6" s="1"/>
  <c r="K31" i="6"/>
  <c r="I21" i="9"/>
  <c r="J19" i="9"/>
  <c r="M27" i="6" s="1"/>
  <c r="M25" i="6" s="1"/>
  <c r="M12" i="6" s="1"/>
  <c r="K18" i="9"/>
  <c r="J8" i="9"/>
  <c r="I12" i="9"/>
  <c r="M29" i="6" l="1"/>
  <c r="I49" i="8"/>
  <c r="M35" i="6" s="1"/>
  <c r="M30" i="6" s="1"/>
  <c r="L31" i="6"/>
  <c r="J21" i="9"/>
  <c r="J12" i="9"/>
  <c r="K8" i="9"/>
  <c r="K19" i="9"/>
  <c r="N27" i="6" s="1"/>
  <c r="N25" i="6" s="1"/>
  <c r="N12" i="6" s="1"/>
  <c r="L18" i="9"/>
  <c r="N29" i="6" l="1"/>
  <c r="J49" i="8"/>
  <c r="N35" i="6" s="1"/>
  <c r="N30" i="6" s="1"/>
  <c r="M31" i="6"/>
  <c r="L19" i="9"/>
  <c r="O27" i="6" s="1"/>
  <c r="O25" i="6" s="1"/>
  <c r="O12" i="6" s="1"/>
  <c r="M18" i="9"/>
  <c r="K21" i="9"/>
  <c r="L8" i="9"/>
  <c r="K12" i="9"/>
  <c r="O29" i="6" l="1"/>
  <c r="K49" i="8"/>
  <c r="O35" i="6" s="1"/>
  <c r="O30" i="6" s="1"/>
  <c r="N31" i="6"/>
  <c r="M19" i="9"/>
  <c r="P27" i="6" s="1"/>
  <c r="P25" i="6" s="1"/>
  <c r="P12" i="6" s="1"/>
  <c r="N18" i="9"/>
  <c r="L21" i="9"/>
  <c r="L12" i="9"/>
  <c r="M8" i="9"/>
  <c r="P29" i="6" l="1"/>
  <c r="L49" i="8"/>
  <c r="P35" i="6" s="1"/>
  <c r="P30" i="6" s="1"/>
  <c r="O31" i="6"/>
  <c r="N19" i="9"/>
  <c r="Q27" i="6" s="1"/>
  <c r="Q25" i="6" s="1"/>
  <c r="Q12" i="6" s="1"/>
  <c r="O18" i="9"/>
  <c r="M21" i="9"/>
  <c r="N8" i="9"/>
  <c r="M12" i="9"/>
  <c r="Q29" i="6" l="1"/>
  <c r="M49" i="8"/>
  <c r="Q35" i="6" s="1"/>
  <c r="Q30" i="6" s="1"/>
  <c r="P31" i="6"/>
  <c r="O19" i="9"/>
  <c r="R27" i="6" s="1"/>
  <c r="R25" i="6" s="1"/>
  <c r="R12" i="6" s="1"/>
  <c r="P18" i="9"/>
  <c r="N21" i="9"/>
  <c r="N12" i="9"/>
  <c r="O8" i="9"/>
  <c r="R29" i="6" l="1"/>
  <c r="N49" i="8"/>
  <c r="R35" i="6" s="1"/>
  <c r="R30" i="6" s="1"/>
  <c r="Q31" i="6"/>
  <c r="P19" i="9"/>
  <c r="S27" i="6" s="1"/>
  <c r="S25" i="6" s="1"/>
  <c r="S12" i="6" s="1"/>
  <c r="Q18" i="9"/>
  <c r="O21" i="9"/>
  <c r="O12" i="9"/>
  <c r="P8" i="9"/>
  <c r="S29" i="6" l="1"/>
  <c r="O49" i="8"/>
  <c r="S35" i="6" s="1"/>
  <c r="S30" i="6" s="1"/>
  <c r="R31" i="6"/>
  <c r="Q19" i="9"/>
  <c r="T27" i="6" s="1"/>
  <c r="T25" i="6" s="1"/>
  <c r="T12" i="6" s="1"/>
  <c r="R18" i="9"/>
  <c r="P21" i="9"/>
  <c r="P12" i="9"/>
  <c r="Q8" i="9"/>
  <c r="T29" i="6" l="1"/>
  <c r="P49" i="8"/>
  <c r="T35" i="6" s="1"/>
  <c r="T30" i="6" s="1"/>
  <c r="S31" i="6"/>
  <c r="R19" i="9"/>
  <c r="U27" i="6" s="1"/>
  <c r="U25" i="6" s="1"/>
  <c r="U12" i="6" s="1"/>
  <c r="S18" i="9"/>
  <c r="Q21" i="9"/>
  <c r="Q12" i="9"/>
  <c r="R8" i="9"/>
  <c r="U29" i="6" l="1"/>
  <c r="Q49" i="8"/>
  <c r="U35" i="6" s="1"/>
  <c r="U30" i="6" s="1"/>
  <c r="T31" i="6"/>
  <c r="S19" i="9"/>
  <c r="V27" i="6" s="1"/>
  <c r="V25" i="6" s="1"/>
  <c r="V12" i="6" s="1"/>
  <c r="T18" i="9"/>
  <c r="R21" i="9"/>
  <c r="R12" i="9"/>
  <c r="S8" i="9"/>
  <c r="V29" i="6" l="1"/>
  <c r="R49" i="8"/>
  <c r="V35" i="6" s="1"/>
  <c r="V30" i="6" s="1"/>
  <c r="U31" i="6"/>
  <c r="T19" i="9"/>
  <c r="W27" i="6" s="1"/>
  <c r="W25" i="6" s="1"/>
  <c r="W12" i="6" s="1"/>
  <c r="U18" i="9"/>
  <c r="S21" i="9"/>
  <c r="S12" i="9"/>
  <c r="T8" i="9"/>
  <c r="W29" i="6" l="1"/>
  <c r="S49" i="8"/>
  <c r="W35" i="6" s="1"/>
  <c r="W30" i="6" s="1"/>
  <c r="V31" i="6"/>
  <c r="U19" i="9"/>
  <c r="X27" i="6" s="1"/>
  <c r="X25" i="6" s="1"/>
  <c r="X12" i="6" s="1"/>
  <c r="V18" i="9"/>
  <c r="T21" i="9"/>
  <c r="T12" i="9"/>
  <c r="U8" i="9"/>
  <c r="X29" i="6" l="1"/>
  <c r="T49" i="8"/>
  <c r="X35" i="6" s="1"/>
  <c r="X30" i="6" s="1"/>
  <c r="W31" i="6"/>
  <c r="V19" i="9"/>
  <c r="Y27" i="6" s="1"/>
  <c r="Y25" i="6" s="1"/>
  <c r="Y12" i="6" s="1"/>
  <c r="W18" i="9"/>
  <c r="U21" i="9"/>
  <c r="U12" i="9"/>
  <c r="V8" i="9"/>
  <c r="Y29" i="6" l="1"/>
  <c r="U49" i="8"/>
  <c r="Y35" i="6" s="1"/>
  <c r="Y30" i="6" s="1"/>
  <c r="X31" i="6"/>
  <c r="W19" i="9"/>
  <c r="Z27" i="6" s="1"/>
  <c r="Z25" i="6" s="1"/>
  <c r="Z12" i="6" s="1"/>
  <c r="X18" i="9"/>
  <c r="X19" i="9" s="1"/>
  <c r="AA27" i="6" s="1"/>
  <c r="V21" i="9"/>
  <c r="V12" i="9"/>
  <c r="W8" i="9"/>
  <c r="Z29" i="6" l="1"/>
  <c r="V49" i="8"/>
  <c r="Z35" i="6" s="1"/>
  <c r="Z30" i="6" s="1"/>
  <c r="Y31" i="6"/>
  <c r="X21" i="9"/>
  <c r="W21" i="9"/>
  <c r="AA25" i="6"/>
  <c r="AA12" i="6" s="1"/>
  <c r="W12" i="9"/>
  <c r="X8" i="9"/>
  <c r="AA29" i="6" l="1"/>
  <c r="W49" i="8"/>
  <c r="AA35" i="6" s="1"/>
  <c r="AA30" i="6" s="1"/>
  <c r="Z31" i="6"/>
  <c r="AB25" i="6"/>
  <c r="D27" i="6"/>
  <c r="B22" i="9"/>
  <c r="X12" i="9"/>
  <c r="Y8" i="9"/>
  <c r="I27" i="15" l="1"/>
  <c r="I15" i="15" s="1"/>
  <c r="G27" i="15"/>
  <c r="G15" i="15" s="1"/>
  <c r="E27" i="15"/>
  <c r="E15" i="15" s="1"/>
  <c r="C27" i="15"/>
  <c r="C15" i="15" s="1"/>
  <c r="L27" i="15"/>
  <c r="L15" i="15" s="1"/>
  <c r="J27" i="15"/>
  <c r="J15" i="15" s="1"/>
  <c r="H27" i="15"/>
  <c r="H15" i="15" s="1"/>
  <c r="F27" i="15"/>
  <c r="F15" i="15" s="1"/>
  <c r="D27" i="15"/>
  <c r="D15" i="15" s="1"/>
  <c r="B27" i="15"/>
  <c r="B15" i="15" s="1"/>
  <c r="K27" i="15"/>
  <c r="K15" i="15" s="1"/>
  <c r="AA31" i="6"/>
  <c r="D25" i="6"/>
  <c r="AB12" i="6"/>
  <c r="X49" i="8" s="1"/>
  <c r="AB35" i="6" s="1"/>
  <c r="AB30" i="6" s="1"/>
  <c r="Y12" i="9"/>
  <c r="Z8" i="9"/>
  <c r="AB29" i="6" l="1"/>
  <c r="AB31" i="6" s="1"/>
  <c r="Z12" i="9"/>
  <c r="AA8" i="9"/>
  <c r="AA12" i="9" l="1"/>
  <c r="AB8" i="9"/>
  <c r="AB12" i="9" l="1"/>
  <c r="AC8" i="9"/>
  <c r="AC12" i="9" l="1"/>
  <c r="AD8" i="9"/>
  <c r="AD12" i="9" l="1"/>
  <c r="AE8" i="9"/>
  <c r="AE12" i="9" l="1"/>
  <c r="AF8" i="9"/>
  <c r="AF12" i="9" l="1"/>
  <c r="AG8" i="9"/>
  <c r="AG12" i="9" l="1"/>
  <c r="AH8" i="9"/>
  <c r="AH12" i="9" l="1"/>
  <c r="AI8" i="9"/>
  <c r="AI12" i="9" l="1"/>
  <c r="AJ8" i="9"/>
  <c r="AJ12" i="9" l="1"/>
  <c r="AK8" i="9"/>
  <c r="AK12" i="9" s="1"/>
  <c r="C33" i="2" l="1"/>
  <c r="D25" i="12"/>
  <c r="D26" i="5" s="1"/>
  <c r="D24" i="12"/>
  <c r="D26" i="12"/>
  <c r="D27" i="5" s="1"/>
  <c r="D17" i="12"/>
  <c r="P17" i="12" s="1"/>
  <c r="D34" i="12" l="1"/>
  <c r="D30" i="12"/>
  <c r="P30" i="12" s="1"/>
  <c r="D23" i="12"/>
  <c r="D25" i="5"/>
  <c r="D24" i="5" s="1"/>
  <c r="E11" i="6" s="1"/>
  <c r="D35" i="12"/>
  <c r="P23" i="12"/>
  <c r="D48" i="12"/>
  <c r="D47" i="12" s="1"/>
  <c r="P47" i="12" s="1"/>
  <c r="D49" i="12"/>
  <c r="D9" i="7" l="1"/>
  <c r="E15" i="6"/>
  <c r="E36" i="6"/>
  <c r="D11" i="6"/>
  <c r="D61" i="12"/>
  <c r="P49" i="12"/>
  <c r="D59" i="12" s="1"/>
  <c r="E16" i="6" l="1"/>
  <c r="D15" i="6"/>
  <c r="E14" i="6"/>
  <c r="E12" i="6" s="1"/>
  <c r="A49" i="8" s="1"/>
  <c r="E35" i="6" s="1"/>
  <c r="E30" i="6" s="1"/>
  <c r="D17" i="15"/>
  <c r="D22" i="15" s="1"/>
  <c r="D21" i="15" s="1"/>
  <c r="D16" i="15" s="1"/>
  <c r="D18" i="15" s="1"/>
  <c r="F17" i="15"/>
  <c r="F22" i="15" s="1"/>
  <c r="F21" i="15" s="1"/>
  <c r="F16" i="15" s="1"/>
  <c r="F18" i="15" s="1"/>
  <c r="H17" i="15"/>
  <c r="H22" i="15" s="1"/>
  <c r="H21" i="15" s="1"/>
  <c r="H16" i="15" s="1"/>
  <c r="H18" i="15" s="1"/>
  <c r="J17" i="15"/>
  <c r="J22" i="15" s="1"/>
  <c r="J21" i="15" s="1"/>
  <c r="J16" i="15" s="1"/>
  <c r="J18" i="15" s="1"/>
  <c r="L17" i="15"/>
  <c r="C17" i="15"/>
  <c r="C22" i="15" s="1"/>
  <c r="C21" i="15" s="1"/>
  <c r="C16" i="15" s="1"/>
  <c r="C18" i="15" s="1"/>
  <c r="E17" i="15"/>
  <c r="E22" i="15" s="1"/>
  <c r="E21" i="15" s="1"/>
  <c r="E16" i="15" s="1"/>
  <c r="E18" i="15" s="1"/>
  <c r="G17" i="15"/>
  <c r="G22" i="15" s="1"/>
  <c r="G21" i="15" s="1"/>
  <c r="G16" i="15" s="1"/>
  <c r="G18" i="15" s="1"/>
  <c r="I17" i="15"/>
  <c r="I22" i="15" s="1"/>
  <c r="I21" i="15" s="1"/>
  <c r="I16" i="15" s="1"/>
  <c r="I18" i="15" s="1"/>
  <c r="K17" i="15"/>
  <c r="K22" i="15" s="1"/>
  <c r="K21" i="15" s="1"/>
  <c r="K16" i="15" s="1"/>
  <c r="K18" i="15" s="1"/>
  <c r="B17" i="15"/>
  <c r="B22" i="15" s="1"/>
  <c r="B21" i="15" s="1"/>
  <c r="B16" i="15" s="1"/>
  <c r="B18" i="15" s="1"/>
  <c r="E61" i="12"/>
  <c r="D62" i="12"/>
  <c r="B28" i="15" l="1"/>
  <c r="L22" i="15"/>
  <c r="L21" i="15" s="1"/>
  <c r="L16" i="15" s="1"/>
  <c r="L18" i="15" s="1"/>
  <c r="D12" i="6"/>
  <c r="D29" i="6" s="1"/>
  <c r="E29" i="6"/>
  <c r="E31" i="6" s="1"/>
  <c r="E62" i="12"/>
  <c r="F61" i="12"/>
  <c r="D49" i="7" l="1"/>
  <c r="E32" i="6"/>
  <c r="D10" i="7"/>
  <c r="D11" i="7" s="1"/>
  <c r="B29" i="15"/>
  <c r="D50" i="7" s="1"/>
  <c r="F62" i="12"/>
  <c r="G61" i="12"/>
  <c r="F32" i="6" l="1"/>
  <c r="G32" i="6" s="1"/>
  <c r="H32" i="6" s="1"/>
  <c r="I32" i="6" s="1"/>
  <c r="J32" i="6" s="1"/>
  <c r="E33" i="6"/>
  <c r="G62" i="12"/>
  <c r="H61" i="12"/>
  <c r="C5" i="15" l="1"/>
  <c r="B9" i="15" s="1"/>
  <c r="E34" i="6"/>
  <c r="C6" i="15" s="1"/>
  <c r="F33" i="6"/>
  <c r="D16" i="6"/>
  <c r="D14" i="6" s="1"/>
  <c r="I61" i="12"/>
  <c r="H62" i="12"/>
  <c r="F34" i="6" l="1"/>
  <c r="D6" i="15" s="1"/>
  <c r="G33" i="6"/>
  <c r="D5" i="15"/>
  <c r="I62" i="12"/>
  <c r="J61" i="12"/>
  <c r="H33" i="6" l="1"/>
  <c r="E5" i="15"/>
  <c r="G34" i="6"/>
  <c r="E6" i="15" s="1"/>
  <c r="K61" i="12"/>
  <c r="J62" i="12"/>
  <c r="H34" i="6" l="1"/>
  <c r="F6" i="15" s="1"/>
  <c r="I33" i="6"/>
  <c r="F5" i="15"/>
  <c r="C9" i="15" s="1"/>
  <c r="K62" i="12"/>
  <c r="L61" i="12"/>
  <c r="I34" i="6" l="1"/>
  <c r="G6" i="15" s="1"/>
  <c r="G5" i="15"/>
  <c r="L62" i="12"/>
  <c r="M61" i="12"/>
  <c r="M62" i="12" l="1"/>
  <c r="N61" i="12"/>
  <c r="O61" i="12" l="1"/>
  <c r="N62" i="12"/>
  <c r="O62" i="12" l="1"/>
  <c r="Q57" i="12"/>
  <c r="Q59" i="12" s="1"/>
  <c r="Q61" i="12"/>
  <c r="Q62" i="12" l="1"/>
  <c r="R61" i="12"/>
  <c r="R62" i="12" l="1"/>
  <c r="S61" i="12"/>
  <c r="S62" i="12" l="1"/>
  <c r="T61" i="12"/>
  <c r="T62" i="12" l="1"/>
  <c r="U61" i="12"/>
  <c r="U62" i="12" l="1"/>
  <c r="V61" i="12"/>
  <c r="V62" i="12" l="1"/>
  <c r="W61" i="12"/>
  <c r="X61" i="12" l="1"/>
  <c r="W62" i="12"/>
  <c r="X62" i="12" l="1"/>
  <c r="Y61" i="12"/>
  <c r="Y62" i="12" l="1"/>
  <c r="Z61" i="12"/>
  <c r="Z62" i="12" l="1"/>
  <c r="AA61" i="12"/>
  <c r="AA62" i="12" l="1"/>
  <c r="AB61" i="12"/>
  <c r="AB62" i="12" s="1"/>
  <c r="D30" i="6" l="1"/>
  <c r="K32" i="6" l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AB32" i="6" s="1"/>
  <c r="D31" i="6"/>
  <c r="J33" i="6" l="1"/>
  <c r="J34" i="6" l="1"/>
  <c r="H6" i="15" s="1"/>
  <c r="H5" i="15"/>
  <c r="K33" i="6"/>
  <c r="I5" i="15" l="1"/>
  <c r="D9" i="15" s="1"/>
  <c r="K34" i="6"/>
  <c r="I6" i="15" s="1"/>
  <c r="L33" i="6"/>
  <c r="L34" i="6" l="1"/>
  <c r="J6" i="15" s="1"/>
  <c r="J5" i="15"/>
  <c r="M33" i="6"/>
  <c r="K5" i="15" l="1"/>
  <c r="M34" i="6"/>
  <c r="K6" i="15" s="1"/>
  <c r="N33" i="6"/>
  <c r="N34" i="6" l="1"/>
  <c r="L6" i="15" s="1"/>
  <c r="L5" i="15"/>
  <c r="E9" i="15" s="1"/>
  <c r="O33" i="6"/>
  <c r="M5" i="15" l="1"/>
  <c r="O34" i="6"/>
  <c r="M6" i="15" s="1"/>
  <c r="P33" i="6"/>
  <c r="P34" i="6" l="1"/>
  <c r="N6" i="15" s="1"/>
  <c r="N5" i="15"/>
  <c r="Q33" i="6"/>
  <c r="O5" i="15" l="1"/>
  <c r="F9" i="15" s="1"/>
  <c r="Q34" i="6"/>
  <c r="O6" i="15" s="1"/>
  <c r="R33" i="6"/>
  <c r="P5" i="15" l="1"/>
  <c r="R34" i="6"/>
  <c r="P6" i="15" s="1"/>
  <c r="S33" i="6"/>
  <c r="Q5" i="15" l="1"/>
  <c r="S34" i="6"/>
  <c r="Q6" i="15" s="1"/>
  <c r="T33" i="6"/>
  <c r="R5" i="15" l="1"/>
  <c r="G9" i="15" s="1"/>
  <c r="T34" i="6"/>
  <c r="R6" i="15" s="1"/>
  <c r="U33" i="6"/>
  <c r="S5" i="15" l="1"/>
  <c r="U34" i="6"/>
  <c r="S6" i="15" s="1"/>
  <c r="V33" i="6"/>
  <c r="T5" i="15" l="1"/>
  <c r="V34" i="6"/>
  <c r="T6" i="15" s="1"/>
  <c r="W33" i="6"/>
  <c r="U5" i="15" l="1"/>
  <c r="H9" i="15" s="1"/>
  <c r="W34" i="6"/>
  <c r="U6" i="15" s="1"/>
  <c r="X33" i="6"/>
  <c r="V5" i="15" l="1"/>
  <c r="X34" i="6"/>
  <c r="V6" i="15" s="1"/>
  <c r="Y33" i="6"/>
  <c r="W5" i="15" l="1"/>
  <c r="Y34" i="6"/>
  <c r="W6" i="15" s="1"/>
  <c r="Z33" i="6"/>
  <c r="X5" i="15" l="1"/>
  <c r="I9" i="15" s="1"/>
  <c r="Z34" i="6"/>
  <c r="X6" i="15" s="1"/>
  <c r="AA33" i="6"/>
  <c r="Y5" i="15" l="1"/>
  <c r="AA34" i="6"/>
  <c r="Y6" i="15" s="1"/>
  <c r="AB33" i="6"/>
  <c r="Z5" i="15" l="1"/>
  <c r="AB34" i="6"/>
  <c r="Z6" i="15" l="1"/>
  <c r="D12" i="7"/>
</calcChain>
</file>

<file path=xl/sharedStrings.xml><?xml version="1.0" encoding="utf-8"?>
<sst xmlns="http://schemas.openxmlformats.org/spreadsheetml/2006/main" count="917" uniqueCount="300">
  <si>
    <t xml:space="preserve">Финансовая модель дилерского предприятия </t>
  </si>
  <si>
    <t>Финансовая модель - это инструмент, который позволит рассчитать объем инвестиций на запуск франшизы конкретно в вашем городе, оценить уровень ежемесячных затрат, предполагаемую выручку и период окупаемости.</t>
  </si>
  <si>
    <t>От введенных на данном листе данных будут зависеть объем первоначальных инвестиций, уровень ежемесячных затрат, а также объем выручки и период окупаемости.</t>
  </si>
  <si>
    <t>Цветовые обозначения:</t>
  </si>
  <si>
    <t>редактируемая ячейка</t>
  </si>
  <si>
    <t>автоматическое заполнение</t>
  </si>
  <si>
    <t>ОБЩИЕ ДАННЫЕ</t>
  </si>
  <si>
    <t>Параметр</t>
  </si>
  <si>
    <t>Значение</t>
  </si>
  <si>
    <t>Выберите численность населения в Вашем городе</t>
  </si>
  <si>
    <t>Выберите из раскрывающегося списка</t>
  </si>
  <si>
    <t>Выберите организационно-правовую форму</t>
  </si>
  <si>
    <t>ИП</t>
  </si>
  <si>
    <t>собственник франшизы</t>
  </si>
  <si>
    <t>Выберите систему налогообложения</t>
  </si>
  <si>
    <t>УСН (доходы)</t>
  </si>
  <si>
    <t>Ставка налога (для УСН)</t>
  </si>
  <si>
    <t>ИНВЕСТИЦИИ</t>
  </si>
  <si>
    <t>Инвестиции - это та сумма, которую необходимо вложить на первоначальном этапе для запуска бизнеса.</t>
  </si>
  <si>
    <t>Инвестиции могут варьироваться в зависимости от цен, которые актуальны конкретно для вашего города/региона (например, ставка арендной платы, стоимость оборудования и иные статьи затрат).</t>
  </si>
  <si>
    <t>Привлечение заемных средств (при необходимости)</t>
  </si>
  <si>
    <t>Тип платежей по кредиту</t>
  </si>
  <si>
    <t>Аннуитетный</t>
  </si>
  <si>
    <t>Сумма кредита</t>
  </si>
  <si>
    <t>Ставка по кредиту</t>
  </si>
  <si>
    <t>%</t>
  </si>
  <si>
    <t>Срок кредита</t>
  </si>
  <si>
    <t>мес.</t>
  </si>
  <si>
    <t>Госпошлина</t>
  </si>
  <si>
    <t>Заказ печати</t>
  </si>
  <si>
    <t>Услуги нотариуса</t>
  </si>
  <si>
    <t>Уставный капитал (для ООО)</t>
  </si>
  <si>
    <t>Открытие счета в банке</t>
  </si>
  <si>
    <t>Подготовка помещения</t>
  </si>
  <si>
    <t>Офисная и бытовая техника, программное обеспечение</t>
  </si>
  <si>
    <t>Организационные расходы</t>
  </si>
  <si>
    <t>Бюджет рекламной кампании на старте</t>
  </si>
  <si>
    <t>Полиграфия (распечатка флаеров)</t>
  </si>
  <si>
    <t>Прочие необходимые затраты</t>
  </si>
  <si>
    <t>ЕЖЕМЕСЯЧНЫЕ ЗАТРАТЫ</t>
  </si>
  <si>
    <t xml:space="preserve">Затраты могут быть постоянными (например, аренда, зарплата сотрудников с фиксированным окладом, интернет, сотовая связь) и переменными (например, оплата сотрудникам % с продаж). </t>
  </si>
  <si>
    <t xml:space="preserve">Вы можете изменить количество персонала в зависимости от планируемого объема работы или с учетом распределения должностных обязанностей. </t>
  </si>
  <si>
    <t>Кол-во</t>
  </si>
  <si>
    <t>Оклад</t>
  </si>
  <si>
    <t>% с продаж</t>
  </si>
  <si>
    <t>Страховые взносы за персонал</t>
  </si>
  <si>
    <t>ФОТ административных сотрудников</t>
  </si>
  <si>
    <t>от окладов</t>
  </si>
  <si>
    <t>Хозяйственные и канцелярские принадлежности</t>
  </si>
  <si>
    <t>Коммунальные услуги</t>
  </si>
  <si>
    <t>Заправка картриджей</t>
  </si>
  <si>
    <t>Телефония</t>
  </si>
  <si>
    <t>Банковское обслуживание</t>
  </si>
  <si>
    <t>Реклама</t>
  </si>
  <si>
    <t>% от выручки</t>
  </si>
  <si>
    <t>но не менее</t>
  </si>
  <si>
    <t>Прочие затраты</t>
  </si>
  <si>
    <t>Иные необходимые затраты</t>
  </si>
  <si>
    <t>наёмный сотрудник</t>
  </si>
  <si>
    <t>Населенный пункт</t>
  </si>
  <si>
    <t>до 300 тыс. жителей</t>
  </si>
  <si>
    <t>От 300 тыс. до 1 млн. жителей</t>
  </si>
  <si>
    <t>Свыше 1 млн. жителей</t>
  </si>
  <si>
    <t xml:space="preserve">Паушальный взнос </t>
  </si>
  <si>
    <t>№</t>
  </si>
  <si>
    <t>Месяц</t>
  </si>
  <si>
    <t>Сезон</t>
  </si>
  <si>
    <t>Сентябрь - май</t>
  </si>
  <si>
    <t>Июнь - август</t>
  </si>
  <si>
    <t>Летний лагерь (июнь - июль)</t>
  </si>
  <si>
    <t>Равные платежи в течение всего срока кредитования.
Увеличенная сумма начисляемых процентов.</t>
  </si>
  <si>
    <t>Дифференцированный</t>
  </si>
  <si>
    <t>В первые месяцы погашения платежи будут большими.
В случае досрочного погашения можно существенно сэкономить на выплачиваемых процентах.</t>
  </si>
  <si>
    <t>Год</t>
  </si>
  <si>
    <t>1-ый год</t>
  </si>
  <si>
    <t>2-ой год</t>
  </si>
  <si>
    <t>3-ий год</t>
  </si>
  <si>
    <t>Номер месяца</t>
  </si>
  <si>
    <t>Тело кредита нач. период</t>
  </si>
  <si>
    <t>Итоговый платеж</t>
  </si>
  <si>
    <t>Выплата основного долга</t>
  </si>
  <si>
    <t>Выплата процентов</t>
  </si>
  <si>
    <t>Тело кредита кон. период</t>
  </si>
  <si>
    <t>Общая сумма выплат</t>
  </si>
  <si>
    <t>Остаток задолженности</t>
  </si>
  <si>
    <t>ООО</t>
  </si>
  <si>
    <t>Режим налогообложения</t>
  </si>
  <si>
    <t>Укажите % УСН</t>
  </si>
  <si>
    <t>УСН (доходы-расходы)</t>
  </si>
  <si>
    <t>Статья расходов</t>
  </si>
  <si>
    <t>Аренда помещения под диспетчерскую</t>
  </si>
  <si>
    <t>Оснащение  помещений</t>
  </si>
  <si>
    <t>Диспетчер</t>
  </si>
  <si>
    <t>Календарный план отражает все основные этапы, которые необходимо пройти для запуска собственного бизнеса по франшизе. На диаграмме Вы можете увидеть последовательность действий и количество дней, которое понадобится на выполнение каждого этапа, а также общий срок выполнения работ.</t>
  </si>
  <si>
    <t>Этапы запуска франшизы. Действия франчайзи</t>
  </si>
  <si>
    <t>Этапы</t>
  </si>
  <si>
    <t>Дней до задачи</t>
  </si>
  <si>
    <t>Дней на задачу</t>
  </si>
  <si>
    <t>Регистрация ИП</t>
  </si>
  <si>
    <t>Официальное открытие</t>
  </si>
  <si>
    <t>Паушальный взнос</t>
  </si>
  <si>
    <t>Старт маркетинговой кампании</t>
  </si>
  <si>
    <t>Покупка оборудования</t>
  </si>
  <si>
    <t>Поиск сотрудников</t>
  </si>
  <si>
    <t>Прочие расходы</t>
  </si>
  <si>
    <t>Поиск помещения</t>
  </si>
  <si>
    <t>Регистрация юр. лица</t>
  </si>
  <si>
    <t>Заключение договора франчайзинга</t>
  </si>
  <si>
    <t>Настройка программного комплекса и мобильных приложений</t>
  </si>
  <si>
    <t>Инвестиции могут варьироваться в зависимости от цен, которые актуальны конкретно для вашего города/региона (например, ставка арендной платы, стоимость оборудования и прочие расходы.).</t>
  </si>
  <si>
    <t>ЗАТРАТЫ НА ОРГАНИЗАЦИЮ БИЗНЕСА</t>
  </si>
  <si>
    <t>Печать</t>
  </si>
  <si>
    <t>Расчетный счет в банке</t>
  </si>
  <si>
    <t>Аренда</t>
  </si>
  <si>
    <t>Итого</t>
  </si>
  <si>
    <t>На данной вкладке вы увидите, из каких денежных потоков складывается ваша выручка. Выручка зависит от средней цены на продукт/услуги, количества продаж и сезонности бизнеса.</t>
  </si>
  <si>
    <t>ПРОДАЖИ</t>
  </si>
  <si>
    <t>1-ЫЙ ГОД</t>
  </si>
  <si>
    <t>№ месяца</t>
  </si>
  <si>
    <t>Операционные показатели за месяц</t>
  </si>
  <si>
    <t>Средний чек</t>
  </si>
  <si>
    <t>Преподаватель по математике</t>
  </si>
  <si>
    <t>Преподаватель по русскому языку</t>
  </si>
  <si>
    <t>Преподаватель по обществознанию</t>
  </si>
  <si>
    <t>Преподаватель по рисованию</t>
  </si>
  <si>
    <t>Преподаватель по английскому языку</t>
  </si>
  <si>
    <t>Выручка франчайзи</t>
  </si>
  <si>
    <t>2-ОЙ ГОД</t>
  </si>
  <si>
    <t>Данные для расчетов:</t>
  </si>
  <si>
    <t>итог 1 год</t>
  </si>
  <si>
    <t>итог 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</si>
  <si>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</si>
  <si>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</si>
  <si>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</si>
  <si>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</si>
  <si>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</si>
  <si>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</si>
  <si>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</si>
  <si>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</si>
  <si>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</si>
  <si>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</si>
  <si>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</si>
  <si>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</si>
  <si>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транспорта</t>
  </si>
  <si>
    <t>Расчет кол-ва заказов:</t>
  </si>
  <si>
    <t>Кол-во заказов по услугам газели:</t>
  </si>
  <si>
    <t>кол-во заказов по услугам грузчиков:</t>
  </si>
  <si>
    <t>Кол-во заказов по услугам эвакуаторов:</t>
  </si>
  <si>
    <t>Оборот, в т.ч.</t>
  </si>
  <si>
    <t>1.1.</t>
  </si>
  <si>
    <t>Предоставление газели</t>
  </si>
  <si>
    <t>1.2.</t>
  </si>
  <si>
    <t>Услуги погрузки</t>
  </si>
  <si>
    <t>1.3.</t>
  </si>
  <si>
    <t>Выручка, в т.ч.</t>
  </si>
  <si>
    <t>1.1.1.</t>
  </si>
  <si>
    <t>1.2.1.</t>
  </si>
  <si>
    <t>1.3.1.</t>
  </si>
  <si>
    <t>Выручка от эвакуаторов</t>
  </si>
  <si>
    <t>Переменные расходы, в т.ч.</t>
  </si>
  <si>
    <t>Зарплата, в т.ч.</t>
  </si>
  <si>
    <t>2.1.1.</t>
  </si>
  <si>
    <t>З/п операторов</t>
  </si>
  <si>
    <t>Отчисления центральный офис, в т.ч.</t>
  </si>
  <si>
    <t>2.2.1.</t>
  </si>
  <si>
    <t>Роялти</t>
  </si>
  <si>
    <t>2.2.2.</t>
  </si>
  <si>
    <t>Услуги Колл-Центра</t>
  </si>
  <si>
    <t>Постоянные расходы, в т.ч.</t>
  </si>
  <si>
    <t>Расходы на рекламу, в т.ч.</t>
  </si>
  <si>
    <t>3.1.1.</t>
  </si>
  <si>
    <t>РК яндекс директ и goole adwords</t>
  </si>
  <si>
    <t>3.1.2.</t>
  </si>
  <si>
    <t>Листовки</t>
  </si>
  <si>
    <t>3.1.3.</t>
  </si>
  <si>
    <t>Авито и другие площадки</t>
  </si>
  <si>
    <t>Аренда офиса</t>
  </si>
  <si>
    <t>3.2.1.</t>
  </si>
  <si>
    <t>аренда</t>
  </si>
  <si>
    <t>услуги сторонних компаний, в т.ч.</t>
  </si>
  <si>
    <t>3.3.1.</t>
  </si>
  <si>
    <t>бух.учет</t>
  </si>
  <si>
    <t>3.3.2.</t>
  </si>
  <si>
    <t>банковское обслуживание</t>
  </si>
  <si>
    <t>3.3.3.</t>
  </si>
  <si>
    <t>интернет</t>
  </si>
  <si>
    <t>Налоги, в т.ч.</t>
  </si>
  <si>
    <t>налог (усн 6 %)</t>
  </si>
  <si>
    <t>Чистая прибыль</t>
  </si>
  <si>
    <t>Инвестиции</t>
  </si>
  <si>
    <t>Запуск , в т.ч.</t>
  </si>
  <si>
    <t>подключение города в программеи приложениях</t>
  </si>
  <si>
    <t xml:space="preserve"> </t>
  </si>
  <si>
    <t>Орг.техника</t>
  </si>
  <si>
    <t>ИТОГО</t>
  </si>
  <si>
    <t>рентабельность инвестиций</t>
  </si>
  <si>
    <t>Возврат инвестций</t>
  </si>
  <si>
    <t xml:space="preserve">Динамика возврата инвестиций </t>
  </si>
  <si>
    <t>Услуги эвакуаторов</t>
  </si>
  <si>
    <t>1.4.1.</t>
  </si>
  <si>
    <t>Диспетчеризация грузовых таксопарков</t>
  </si>
  <si>
    <t>3.3.4.</t>
  </si>
  <si>
    <t>прочие расходы</t>
  </si>
  <si>
    <t>Программа+мобильные приложения</t>
  </si>
  <si>
    <t>Кол-во заказов по спецтехнике:</t>
  </si>
  <si>
    <t>Курьерская служба:</t>
  </si>
  <si>
    <t>1.4.</t>
  </si>
  <si>
    <t>Услуги спецтехники</t>
  </si>
  <si>
    <t>1.5.</t>
  </si>
  <si>
    <t>Услуги курьеров</t>
  </si>
  <si>
    <t>Выручка от спецтехники</t>
  </si>
  <si>
    <t>1.5.1.</t>
  </si>
  <si>
    <t>Выручка от курьеров</t>
  </si>
  <si>
    <t>1.6.</t>
  </si>
  <si>
    <t>Орг.техника,телефония</t>
  </si>
  <si>
    <t>Количество транспорта</t>
  </si>
  <si>
    <t>-</t>
  </si>
  <si>
    <t>Оборот по показателям</t>
  </si>
  <si>
    <t>Средний чек по газелям</t>
  </si>
  <si>
    <t>Средний чек по грузчикам</t>
  </si>
  <si>
    <t>средний чек эвакуаторы</t>
  </si>
  <si>
    <t>средний чек спецтехника</t>
  </si>
  <si>
    <t>средний чек курьеры</t>
  </si>
  <si>
    <t>СТРУКТУРА ПРОДАЖ</t>
  </si>
  <si>
    <t>Групповые занятия</t>
  </si>
  <si>
    <t>Доля в выручке</t>
  </si>
  <si>
    <t>Курсы английского языка</t>
  </si>
  <si>
    <t>Курсы английского языка для дошкольников</t>
  </si>
  <si>
    <t>Подготовка к школе</t>
  </si>
  <si>
    <t>Комплекс разв. занятий для дошкольников</t>
  </si>
  <si>
    <t>Подготовка к ЕГЭ/ОГЭ по математике</t>
  </si>
  <si>
    <t>Подготовка к ЕГЭ/ОГЭ по русскому языку</t>
  </si>
  <si>
    <t>Подготовка к ЕГЭ/ОГЭ по обществознанию</t>
  </si>
  <si>
    <t>Курс для учеников начальных классов</t>
  </si>
  <si>
    <t>Занятия по математике</t>
  </si>
  <si>
    <t>Курс коррекции почерка</t>
  </si>
  <si>
    <t>Скетчинг</t>
  </si>
  <si>
    <t>Летний лагерь</t>
  </si>
  <si>
    <t>Индивидуальные занятия</t>
  </si>
  <si>
    <t>Курсы английского языка (И)</t>
  </si>
  <si>
    <t>Подготовка к ЕГЭ/ОГЭ по математике (И)</t>
  </si>
  <si>
    <t>Подготовка к ЕГЭ/ОГЭ по русскому языку (И)</t>
  </si>
  <si>
    <t>Занятия по математике (И)</t>
  </si>
  <si>
    <t>Занятия по русскому языку (И)</t>
  </si>
  <si>
    <t>Итого/ср. значение</t>
  </si>
  <si>
    <t>Прогноз академ. часов преподавателей в мес.</t>
  </si>
  <si>
    <t>Преподаватель начальных классов и дошк. обр.</t>
  </si>
  <si>
    <t>Среднее количество учащихся в месяц</t>
  </si>
  <si>
    <t>Выход на плановые показатели по продажам</t>
  </si>
  <si>
    <t>Выход на плановые показатели продаж через</t>
  </si>
  <si>
    <t>Выполнение плана в 1-й месяц</t>
  </si>
  <si>
    <t>от ср. выручки</t>
  </si>
  <si>
    <t>Процент увеличения продаж со 2-го года</t>
  </si>
  <si>
    <t>% увеличения</t>
  </si>
  <si>
    <t>Предоставление газелей</t>
  </si>
  <si>
    <t>Наименование услуги</t>
  </si>
  <si>
    <t>В таблице консолидированы все данные по первоначальным инвестициям, ежемесячной выручке и затратам. Значения в данной таблице пересчитываются при изменении соответствующих показателей на предыдущих вкладках.</t>
  </si>
  <si>
    <t>Всего</t>
  </si>
  <si>
    <t>Выручка</t>
  </si>
  <si>
    <t>Ежемесячные затраты, в том числе:</t>
  </si>
  <si>
    <t>Ежемесячные выплаты по кредиту</t>
  </si>
  <si>
    <t>Тело кредита</t>
  </si>
  <si>
    <t>Проценты</t>
  </si>
  <si>
    <t>Инвестзатраты</t>
  </si>
  <si>
    <t>Прибыль до налогообложения</t>
  </si>
  <si>
    <t>Налоги</t>
  </si>
  <si>
    <t>Чистая прибыль нарастающим итогом</t>
  </si>
  <si>
    <t>Чистая прибыль нарастающим итогом за вычетом инвестиционных затрат</t>
  </si>
  <si>
    <t>Окупаемость (в месяцах)</t>
  </si>
  <si>
    <t>№ Месяца</t>
  </si>
  <si>
    <t>Страховые взносы ИП</t>
  </si>
  <si>
    <t>Здесь представлены прогнозные результаты инвестиций в проект.
Полученные значения отражают информацию, заполненную Вами на листе Параметры.</t>
  </si>
  <si>
    <t>Средняя ежемесячная выручка за 2 года</t>
  </si>
  <si>
    <t>Средняя чистая ежемесячная прибыль за 2 года</t>
  </si>
  <si>
    <t>Рентабельность по чистой прибыли</t>
  </si>
  <si>
    <t>Срок окупаемости, в месяцах</t>
  </si>
  <si>
    <t>На графике представлен срок окупаемости проекта (точка пересечения линий) - временной промежуток, который необходим для получения дохода, равного объему затрат при совершении инвестиций.</t>
  </si>
  <si>
    <t>Точка безубыточности показывает, каким должен быть объем продаж компании при прогнозируемом уровне затрат для выхода на безубыточность по проекту. Пересечение кривой "Выручка" и кривой "Общие расходы" является точкой безубыточности проекта.</t>
  </si>
  <si>
    <t>Точка безубыточности</t>
  </si>
  <si>
    <t>Расчеты для графика окупаемости проекта</t>
  </si>
  <si>
    <t>Денежный поток</t>
  </si>
  <si>
    <t>Квартал</t>
  </si>
  <si>
    <t>1 кв.</t>
  </si>
  <si>
    <t>2 кв.</t>
  </si>
  <si>
    <t>3 кв.</t>
  </si>
  <si>
    <t>4 кв.</t>
  </si>
  <si>
    <t>5 кв.</t>
  </si>
  <si>
    <t>6 кв.</t>
  </si>
  <si>
    <t>7 кв.</t>
  </si>
  <si>
    <t>8 кв.</t>
  </si>
  <si>
    <t>Расчеты для графика точки безубыточности</t>
  </si>
  <si>
    <t>Постоянные расходы</t>
  </si>
  <si>
    <t>Переменные расходы</t>
  </si>
  <si>
    <t>Общие расходы</t>
  </si>
  <si>
    <t>Реализация</t>
  </si>
  <si>
    <t>Средние переменные издержки</t>
  </si>
  <si>
    <t>расходы без рекламы</t>
  </si>
  <si>
    <t>фот диспетчеры без налогов</t>
  </si>
  <si>
    <t>Регистрация ООО</t>
  </si>
  <si>
    <t>Необходимый объём заказов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</si>
</sst>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[$-F419]mmmm;@"/>
    <numFmt numFmtId="166" formatCode="0.0%"/>
    <numFmt numFmtId="167" formatCode="_-* #,##0\ [$₽-419]_-;\-* #,##0\ [$₽-419]_-;_-* &quot;-&quot;??\ [$₽-419]_-;_-@_-"/>
    <numFmt numFmtId="168" formatCode="#,##0.0\ &quot;₽&quot;;[Red]\-#,##0.0\ &quot;₽&quot;"/>
    <numFmt numFmtId="169" formatCode="_-* #,##0\ &quot;₽&quot;_-;\-* #,##0\ &quot;₽&quot;_-;_-* &quot;-&quot;??\ &quot;₽&quot;_-;_-@_-"/>
    <numFmt numFmtId="170" formatCode="#,##0.00\ &quot;₽&quot;"/>
    <numFmt numFmtId="171" formatCode="_-* #,##0_р_._-;\-* #,##0_р_._-;_-* &quot;-&quot;??_р_._-;_-@_-"/>
    <numFmt numFmtId="172" formatCode="[$-419]mmmm;@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0" tint="-0.24997711111789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Lora"/>
      <charset val="204"/>
    </font>
    <font>
      <sz val="9"/>
      <color theme="1"/>
      <name val="Lora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rgb="FF0D0D0D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3F53"/>
        <bgColor indexed="64"/>
      </patternFill>
    </fill>
    <fill>
      <patternFill patternType="solid">
        <fgColor theme="0" tint="-0.14999847407452621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rgb="FF013F53"/>
        <bgColor rgb="FFDBE5F1"/>
      </patternFill>
    </fill>
    <fill>
      <patternFill patternType="solid">
        <fgColor theme="0"/>
        <bgColor rgb="FFCCFFF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 tint="-0.14999847407452621"/>
        <bgColor rgb="FFDAEEF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theme="1"/>
      </bottom>
      <diagonal/>
    </border>
    <border>
      <left/>
      <right style="thin">
        <color auto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552">
    <xf numFmtId="0" fontId="0" fillId="0" borderId="0" xfId="0"/>
    <xf numFmtId="0" fontId="0" fillId="0" borderId="0" xfId="0" applyAlignment="1">
      <alignment horizontal="center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3" fontId="7" fillId="0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Protection="1">
      <protection hidden="1"/>
    </xf>
    <xf numFmtId="0" fontId="12" fillId="0" borderId="0" xfId="0" applyFont="1"/>
    <xf numFmtId="0" fontId="13" fillId="0" borderId="1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3" fillId="2" borderId="5" xfId="0" applyFont="1" applyFill="1" applyBorder="1" applyProtection="1">
      <protection hidden="1"/>
    </xf>
    <xf numFmtId="0" fontId="13" fillId="2" borderId="4" xfId="0" applyFont="1" applyFill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Protection="1">
      <protection hidden="1"/>
    </xf>
    <xf numFmtId="0" fontId="12" fillId="0" borderId="5" xfId="0" applyFont="1" applyBorder="1" applyProtection="1">
      <protection hidden="1"/>
    </xf>
    <xf numFmtId="0" fontId="16" fillId="3" borderId="9" xfId="0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2" borderId="8" xfId="0" applyFont="1" applyFill="1" applyBorder="1" applyProtection="1"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left" vertical="center" indent="1"/>
      <protection hidden="1"/>
    </xf>
    <xf numFmtId="0" fontId="17" fillId="5" borderId="13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left" vertical="center" indent="2"/>
      <protection hidden="1"/>
    </xf>
    <xf numFmtId="0" fontId="13" fillId="5" borderId="0" xfId="0" applyFont="1" applyFill="1" applyBorder="1" applyAlignment="1" applyProtection="1">
      <alignment vertical="center" wrapText="1"/>
      <protection hidden="1"/>
    </xf>
    <xf numFmtId="0" fontId="13" fillId="5" borderId="5" xfId="0" applyFont="1" applyFill="1" applyBorder="1" applyAlignment="1" applyProtection="1">
      <alignment vertical="center" wrapText="1"/>
      <protection hidden="1"/>
    </xf>
    <xf numFmtId="0" fontId="13" fillId="5" borderId="13" xfId="0" applyFont="1" applyFill="1" applyBorder="1" applyAlignment="1" applyProtection="1">
      <alignment vertical="center"/>
      <protection hidden="1"/>
    </xf>
    <xf numFmtId="0" fontId="12" fillId="0" borderId="5" xfId="0" applyFont="1" applyBorder="1" applyAlignment="1" applyProtection="1">
      <alignment horizontal="left" indent="1"/>
      <protection hidden="1"/>
    </xf>
    <xf numFmtId="0" fontId="13" fillId="5" borderId="0" xfId="0" applyFont="1" applyFill="1" applyBorder="1" applyAlignment="1" applyProtection="1">
      <alignment horizontal="left" vertical="center" indent="1"/>
      <protection hidden="1"/>
    </xf>
    <xf numFmtId="0" fontId="13" fillId="7" borderId="0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 indent="2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 indent="1"/>
      <protection hidden="1"/>
    </xf>
    <xf numFmtId="0" fontId="13" fillId="7" borderId="22" xfId="0" applyFont="1" applyFill="1" applyBorder="1" applyAlignment="1" applyProtection="1">
      <alignment horizontal="center" vertical="center" wrapText="1"/>
      <protection hidden="1"/>
    </xf>
    <xf numFmtId="164" fontId="16" fillId="3" borderId="9" xfId="1" applyNumberFormat="1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center" vertical="center" wrapText="1"/>
      <protection hidden="1"/>
    </xf>
    <xf numFmtId="9" fontId="16" fillId="3" borderId="9" xfId="0" applyNumberFormat="1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13" fillId="2" borderId="23" xfId="0" applyFont="1" applyFill="1" applyBorder="1" applyAlignment="1" applyProtection="1">
      <alignment horizontal="left" vertical="center" indent="3"/>
      <protection hidden="1"/>
    </xf>
    <xf numFmtId="0" fontId="13" fillId="2" borderId="8" xfId="0" applyFont="1" applyFill="1" applyBorder="1" applyAlignment="1" applyProtection="1">
      <alignment horizontal="left" vertical="center" indent="3"/>
      <protection hidden="1"/>
    </xf>
    <xf numFmtId="3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5" xfId="0" applyFont="1" applyFill="1" applyBorder="1" applyProtection="1">
      <protection hidden="1"/>
    </xf>
    <xf numFmtId="0" fontId="13" fillId="2" borderId="11" xfId="0" applyFont="1" applyFill="1" applyBorder="1" applyAlignment="1" applyProtection="1">
      <alignment horizontal="left" vertical="center" indent="3"/>
      <protection hidden="1"/>
    </xf>
    <xf numFmtId="0" fontId="13" fillId="2" borderId="8" xfId="0" applyFont="1" applyFill="1" applyBorder="1" applyAlignment="1" applyProtection="1">
      <alignment horizontal="left" vertical="center" indent="4"/>
      <protection hidden="1"/>
    </xf>
    <xf numFmtId="0" fontId="13" fillId="7" borderId="20" xfId="0" applyFont="1" applyFill="1" applyBorder="1" applyAlignment="1" applyProtection="1">
      <alignment horizontal="center" vertical="center" wrapText="1"/>
      <protection hidden="1"/>
    </xf>
    <xf numFmtId="0" fontId="13" fillId="7" borderId="13" xfId="0" applyFont="1" applyFill="1" applyBorder="1" applyAlignment="1" applyProtection="1">
      <alignment horizontal="center" vertical="center" wrapText="1"/>
      <protection hidden="1"/>
    </xf>
    <xf numFmtId="164" fontId="16" fillId="3" borderId="20" xfId="1" applyNumberFormat="1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left" vertical="center" wrapText="1" indent="1"/>
      <protection hidden="1"/>
    </xf>
    <xf numFmtId="0" fontId="13" fillId="7" borderId="8" xfId="0" applyFont="1" applyFill="1" applyBorder="1" applyAlignment="1" applyProtection="1">
      <alignment horizontal="center" vertical="center" wrapText="1"/>
      <protection hidden="1"/>
    </xf>
    <xf numFmtId="0" fontId="17" fillId="2" borderId="23" xfId="0" applyFont="1" applyFill="1" applyBorder="1" applyAlignment="1" applyProtection="1">
      <alignment horizontal="left" vertical="center" indent="1"/>
      <protection hidden="1"/>
    </xf>
    <xf numFmtId="0" fontId="18" fillId="2" borderId="5" xfId="0" applyFont="1" applyFill="1" applyBorder="1" applyAlignment="1" applyProtection="1">
      <alignment vertical="center"/>
      <protection hidden="1"/>
    </xf>
    <xf numFmtId="166" fontId="16" fillId="3" borderId="9" xfId="0" applyNumberFormat="1" applyFont="1" applyFill="1" applyBorder="1" applyAlignment="1" applyProtection="1">
      <alignment horizontal="center" vertical="center"/>
      <protection locked="0"/>
    </xf>
    <xf numFmtId="166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0" borderId="9" xfId="1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left" vertical="center" indent="1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0" fontId="17" fillId="0" borderId="9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10" fontId="13" fillId="0" borderId="23" xfId="0" applyNumberFormat="1" applyFont="1" applyBorder="1" applyAlignment="1" applyProtection="1">
      <alignment horizontal="left" vertical="center" indent="3"/>
      <protection hidden="1"/>
    </xf>
    <xf numFmtId="0" fontId="13" fillId="2" borderId="8" xfId="0" applyFont="1" applyFill="1" applyBorder="1" applyAlignment="1" applyProtection="1">
      <alignment vertical="center"/>
      <protection hidden="1"/>
    </xf>
    <xf numFmtId="0" fontId="16" fillId="3" borderId="9" xfId="1" applyNumberFormat="1" applyFont="1" applyFill="1" applyBorder="1" applyAlignment="1" applyProtection="1">
      <alignment horizontal="center" vertical="center"/>
      <protection locked="0"/>
    </xf>
    <xf numFmtId="164" fontId="1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vertical="center"/>
      <protection hidden="1"/>
    </xf>
    <xf numFmtId="10" fontId="13" fillId="0" borderId="11" xfId="0" applyNumberFormat="1" applyFont="1" applyBorder="1" applyAlignment="1" applyProtection="1">
      <alignment horizontal="left" vertical="center" indent="3"/>
      <protection hidden="1"/>
    </xf>
    <xf numFmtId="3" fontId="15" fillId="2" borderId="18" xfId="0" applyNumberFormat="1" applyFont="1" applyFill="1" applyBorder="1" applyAlignment="1" applyProtection="1">
      <alignment horizontal="center" vertical="center" wrapText="1"/>
      <protection hidden="1"/>
    </xf>
    <xf numFmtId="10" fontId="13" fillId="0" borderId="14" xfId="0" applyNumberFormat="1" applyFont="1" applyBorder="1" applyAlignment="1" applyProtection="1">
      <alignment horizontal="left" vertical="center" indent="3"/>
      <protection hidden="1"/>
    </xf>
    <xf numFmtId="10" fontId="13" fillId="0" borderId="24" xfId="0" applyNumberFormat="1" applyFont="1" applyBorder="1" applyAlignment="1" applyProtection="1">
      <alignment horizontal="left" vertical="center" indent="3"/>
      <protection hidden="1"/>
    </xf>
    <xf numFmtId="0" fontId="13" fillId="2" borderId="24" xfId="0" applyFont="1" applyFill="1" applyBorder="1" applyAlignment="1" applyProtection="1">
      <alignment vertical="center"/>
      <protection hidden="1"/>
    </xf>
    <xf numFmtId="10" fontId="13" fillId="0" borderId="13" xfId="0" applyNumberFormat="1" applyFont="1" applyBorder="1" applyAlignment="1" applyProtection="1">
      <alignment horizontal="left" vertical="center" indent="3"/>
      <protection hidden="1"/>
    </xf>
    <xf numFmtId="10" fontId="13" fillId="0" borderId="20" xfId="0" applyNumberFormat="1" applyFont="1" applyBorder="1" applyAlignment="1" applyProtection="1">
      <alignment horizontal="left" vertical="center" indent="3"/>
      <protection hidden="1"/>
    </xf>
    <xf numFmtId="0" fontId="3" fillId="0" borderId="9" xfId="0" applyFont="1" applyBorder="1" applyAlignment="1"/>
    <xf numFmtId="167" fontId="3" fillId="0" borderId="9" xfId="3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indent="1"/>
    </xf>
    <xf numFmtId="44" fontId="21" fillId="0" borderId="9" xfId="2" applyFont="1" applyBorder="1" applyAlignment="1">
      <alignment horizontal="right"/>
    </xf>
    <xf numFmtId="0" fontId="3" fillId="0" borderId="9" xfId="0" applyFont="1" applyBorder="1"/>
    <xf numFmtId="0" fontId="3" fillId="0" borderId="9" xfId="0" applyFont="1" applyBorder="1" applyAlignment="1">
      <alignment horizontal="left"/>
    </xf>
    <xf numFmtId="9" fontId="21" fillId="0" borderId="9" xfId="3" applyFont="1" applyBorder="1" applyAlignment="1">
      <alignment horizontal="center" vertical="center"/>
    </xf>
    <xf numFmtId="1" fontId="21" fillId="0" borderId="9" xfId="2" applyNumberFormat="1" applyFont="1" applyBorder="1" applyAlignment="1">
      <alignment horizontal="center" vertical="center"/>
    </xf>
    <xf numFmtId="0" fontId="0" fillId="0" borderId="9" xfId="0" applyBorder="1"/>
    <xf numFmtId="168" fontId="21" fillId="0" borderId="9" xfId="2" applyNumberFormat="1" applyFont="1" applyBorder="1" applyAlignment="1">
      <alignment horizontal="right"/>
    </xf>
    <xf numFmtId="0" fontId="0" fillId="0" borderId="0" xfId="0" applyBorder="1"/>
    <xf numFmtId="0" fontId="0" fillId="8" borderId="9" xfId="0" applyFill="1" applyBorder="1" applyAlignment="1">
      <alignment horizontal="left" indent="1"/>
    </xf>
    <xf numFmtId="168" fontId="21" fillId="8" borderId="9" xfId="0" applyNumberFormat="1" applyFont="1" applyFill="1" applyBorder="1"/>
    <xf numFmtId="168" fontId="21" fillId="0" borderId="9" xfId="0" applyNumberFormat="1" applyFont="1" applyBorder="1"/>
    <xf numFmtId="0" fontId="3" fillId="0" borderId="9" xfId="0" applyFont="1" applyFill="1" applyBorder="1" applyAlignment="1"/>
    <xf numFmtId="0" fontId="22" fillId="0" borderId="0" xfId="0" applyFont="1"/>
    <xf numFmtId="0" fontId="3" fillId="8" borderId="9" xfId="0" applyFont="1" applyFill="1" applyBorder="1" applyAlignment="1">
      <alignment horizontal="center" vertical="center"/>
    </xf>
    <xf numFmtId="164" fontId="3" fillId="0" borderId="9" xfId="0" applyNumberFormat="1" applyFont="1" applyBorder="1" applyAlignment="1" applyProtection="1">
      <alignment horizontal="center" vertical="center"/>
      <protection hidden="1"/>
    </xf>
    <xf numFmtId="164" fontId="23" fillId="0" borderId="9" xfId="1" applyNumberFormat="1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left" vertical="center" indent="3"/>
      <protection hidden="1"/>
    </xf>
    <xf numFmtId="0" fontId="17" fillId="4" borderId="4" xfId="0" applyFont="1" applyFill="1" applyBorder="1" applyAlignment="1" applyProtection="1">
      <alignment horizontal="center" vertical="center"/>
      <protection hidden="1"/>
    </xf>
    <xf numFmtId="0" fontId="17" fillId="4" borderId="8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24" fillId="0" borderId="3" xfId="4" applyFont="1" applyBorder="1" applyAlignment="1" applyProtection="1">
      <alignment horizontal="center"/>
      <protection hidden="1"/>
    </xf>
    <xf numFmtId="0" fontId="3" fillId="0" borderId="4" xfId="4" applyFont="1" applyBorder="1" applyProtection="1">
      <protection hidden="1"/>
    </xf>
    <xf numFmtId="0" fontId="3" fillId="0" borderId="5" xfId="4" applyFont="1" applyBorder="1" applyProtection="1"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9" xfId="0" applyFont="1" applyBorder="1" applyAlignment="1">
      <alignment horizontal="left" vertical="top"/>
    </xf>
    <xf numFmtId="0" fontId="11" fillId="9" borderId="9" xfId="0" applyFont="1" applyFill="1" applyBorder="1" applyAlignment="1">
      <alignment horizontal="left" vertical="top"/>
    </xf>
    <xf numFmtId="0" fontId="27" fillId="0" borderId="0" xfId="0" applyFont="1"/>
    <xf numFmtId="0" fontId="28" fillId="0" borderId="9" xfId="0" applyFont="1" applyBorder="1" applyAlignment="1">
      <alignment horizontal="left" vertical="center" wrapText="1"/>
    </xf>
    <xf numFmtId="169" fontId="27" fillId="0" borderId="9" xfId="2" applyNumberFormat="1" applyFont="1" applyBorder="1"/>
    <xf numFmtId="0" fontId="28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3" fillId="0" borderId="0" xfId="4" applyFont="1" applyBorder="1" applyAlignment="1" applyProtection="1">
      <alignment horizontal="left" vertical="center" wrapText="1"/>
      <protection hidden="1"/>
    </xf>
    <xf numFmtId="0" fontId="3" fillId="0" borderId="0" xfId="4" applyFont="1" applyBorder="1" applyProtection="1">
      <protection hidden="1"/>
    </xf>
    <xf numFmtId="0" fontId="0" fillId="0" borderId="4" xfId="0" applyBorder="1"/>
    <xf numFmtId="0" fontId="0" fillId="0" borderId="5" xfId="0" applyBorder="1"/>
    <xf numFmtId="0" fontId="0" fillId="0" borderId="28" xfId="0" applyBorder="1"/>
    <xf numFmtId="0" fontId="0" fillId="0" borderId="6" xfId="0" applyBorder="1"/>
    <xf numFmtId="0" fontId="0" fillId="0" borderId="29" xfId="0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left" vertical="center" indent="3"/>
      <protection hidden="1"/>
    </xf>
    <xf numFmtId="0" fontId="30" fillId="0" borderId="0" xfId="0" applyFont="1" applyBorder="1" applyAlignment="1" applyProtection="1">
      <alignment horizontal="left" vertical="center" indent="5"/>
      <protection hidden="1"/>
    </xf>
    <xf numFmtId="0" fontId="3" fillId="2" borderId="28" xfId="0" applyFont="1" applyFill="1" applyBorder="1" applyProtection="1">
      <protection hidden="1"/>
    </xf>
    <xf numFmtId="0" fontId="3" fillId="7" borderId="6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0" fontId="3" fillId="7" borderId="0" xfId="0" applyFont="1" applyFill="1" applyAlignment="1" applyProtection="1">
      <alignment vertical="center"/>
      <protection hidden="1"/>
    </xf>
    <xf numFmtId="0" fontId="29" fillId="2" borderId="11" xfId="0" applyFont="1" applyFill="1" applyBorder="1" applyAlignment="1" applyProtection="1">
      <alignment horizontal="left" vertical="center" indent="1"/>
      <protection hidden="1"/>
    </xf>
    <xf numFmtId="0" fontId="25" fillId="2" borderId="13" xfId="0" applyFont="1" applyFill="1" applyBorder="1" applyAlignment="1" applyProtection="1">
      <alignment horizontal="left" vertical="center" indent="3"/>
      <protection hidden="1"/>
    </xf>
    <xf numFmtId="0" fontId="25" fillId="2" borderId="20" xfId="0" applyFont="1" applyFill="1" applyBorder="1" applyAlignment="1" applyProtection="1">
      <alignment horizontal="left" vertical="center" indent="3"/>
      <protection hidden="1"/>
    </xf>
    <xf numFmtId="164" fontId="29" fillId="0" borderId="9" xfId="1" applyNumberFormat="1" applyFont="1" applyFill="1" applyBorder="1" applyAlignment="1" applyProtection="1">
      <alignment horizontal="center" vertical="center"/>
      <protection hidden="1"/>
    </xf>
    <xf numFmtId="0" fontId="25" fillId="2" borderId="23" xfId="0" applyFont="1" applyFill="1" applyBorder="1" applyAlignment="1" applyProtection="1">
      <alignment horizontal="left" vertical="center" indent="4"/>
      <protection hidden="1"/>
    </xf>
    <xf numFmtId="0" fontId="25" fillId="2" borderId="8" xfId="0" applyFont="1" applyFill="1" applyBorder="1" applyAlignment="1" applyProtection="1">
      <alignment horizontal="left" vertical="center" indent="3"/>
      <protection hidden="1"/>
    </xf>
    <xf numFmtId="164" fontId="32" fillId="2" borderId="9" xfId="1" applyNumberFormat="1" applyFont="1" applyFill="1" applyBorder="1" applyAlignment="1" applyProtection="1">
      <alignment horizontal="center" vertical="center"/>
      <protection hidden="1"/>
    </xf>
    <xf numFmtId="0" fontId="29" fillId="2" borderId="13" xfId="0" applyFont="1" applyFill="1" applyBorder="1" applyAlignment="1" applyProtection="1">
      <alignment horizontal="left" indent="1"/>
      <protection hidden="1"/>
    </xf>
    <xf numFmtId="0" fontId="29" fillId="2" borderId="20" xfId="0" applyFont="1" applyFill="1" applyBorder="1" applyAlignment="1" applyProtection="1">
      <alignment horizontal="left" indent="1"/>
      <protection hidden="1"/>
    </xf>
    <xf numFmtId="164" fontId="25" fillId="0" borderId="9" xfId="1" applyNumberFormat="1" applyFont="1" applyFill="1" applyBorder="1" applyAlignment="1" applyProtection="1">
      <alignment horizontal="center" vertical="center"/>
      <protection hidden="1"/>
    </xf>
    <xf numFmtId="0" fontId="29" fillId="2" borderId="13" xfId="0" applyFont="1" applyFill="1" applyBorder="1" applyProtection="1">
      <protection hidden="1"/>
    </xf>
    <xf numFmtId="0" fontId="29" fillId="2" borderId="20" xfId="0" applyFont="1" applyFill="1" applyBorder="1" applyProtection="1">
      <protection hidden="1"/>
    </xf>
    <xf numFmtId="164" fontId="33" fillId="0" borderId="9" xfId="1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Protection="1">
      <protection hidden="1"/>
    </xf>
    <xf numFmtId="0" fontId="31" fillId="0" borderId="0" xfId="0" applyFont="1" applyProtection="1">
      <protection hidden="1"/>
    </xf>
    <xf numFmtId="0" fontId="34" fillId="0" borderId="0" xfId="0" applyFont="1" applyAlignment="1" applyProtection="1">
      <alignment vertical="center"/>
      <protection hidden="1"/>
    </xf>
    <xf numFmtId="0" fontId="12" fillId="0" borderId="4" xfId="0" applyFont="1" applyBorder="1"/>
    <xf numFmtId="0" fontId="12" fillId="0" borderId="0" xfId="0" applyFont="1" applyBorder="1"/>
    <xf numFmtId="0" fontId="12" fillId="0" borderId="5" xfId="0" applyFont="1" applyBorder="1"/>
    <xf numFmtId="0" fontId="12" fillId="0" borderId="28" xfId="0" applyFont="1" applyBorder="1"/>
    <xf numFmtId="0" fontId="12" fillId="0" borderId="6" xfId="0" applyFont="1" applyBorder="1"/>
    <xf numFmtId="0" fontId="12" fillId="0" borderId="29" xfId="0" applyFont="1" applyBorder="1"/>
    <xf numFmtId="0" fontId="3" fillId="7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1" fillId="0" borderId="6" xfId="0" applyFont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center"/>
      <protection hidden="1"/>
    </xf>
    <xf numFmtId="0" fontId="36" fillId="0" borderId="4" xfId="0" applyFont="1" applyBorder="1" applyAlignment="1" applyProtection="1">
      <protection hidden="1"/>
    </xf>
    <xf numFmtId="0" fontId="36" fillId="0" borderId="0" xfId="0" applyFont="1" applyAlignment="1" applyProtection="1">
      <protection hidden="1"/>
    </xf>
    <xf numFmtId="0" fontId="37" fillId="2" borderId="0" xfId="0" applyFont="1" applyFill="1" applyAlignment="1" applyProtection="1">
      <alignment vertical="center" wrapText="1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9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41" fillId="2" borderId="9" xfId="4" applyFont="1" applyFill="1" applyBorder="1" applyAlignment="1" applyProtection="1">
      <alignment horizontal="left" vertical="center" indent="1"/>
      <protection hidden="1"/>
    </xf>
    <xf numFmtId="0" fontId="42" fillId="2" borderId="0" xfId="0" applyFont="1" applyFill="1" applyAlignment="1" applyProtection="1">
      <alignment horizontal="center" vertical="center"/>
      <protection hidden="1"/>
    </xf>
    <xf numFmtId="0" fontId="42" fillId="2" borderId="4" xfId="0" applyFont="1" applyFill="1" applyBorder="1" applyAlignment="1" applyProtection="1">
      <alignment horizontal="center" vertical="center"/>
      <protection hidden="1"/>
    </xf>
    <xf numFmtId="0" fontId="41" fillId="2" borderId="23" xfId="4" applyFont="1" applyFill="1" applyBorder="1" applyAlignment="1" applyProtection="1">
      <alignment horizontal="left" vertical="center" indent="1"/>
      <protection hidden="1"/>
    </xf>
    <xf numFmtId="0" fontId="10" fillId="2" borderId="9" xfId="4" applyFont="1" applyFill="1" applyBorder="1" applyAlignment="1" applyProtection="1">
      <alignment horizontal="center" vertical="center"/>
      <protection hidden="1"/>
    </xf>
    <xf numFmtId="0" fontId="37" fillId="2" borderId="0" xfId="0" applyFont="1" applyFill="1" applyProtection="1">
      <protection hidden="1"/>
    </xf>
    <xf numFmtId="0" fontId="37" fillId="2" borderId="4" xfId="0" applyFont="1" applyFill="1" applyBorder="1" applyProtection="1">
      <protection hidden="1"/>
    </xf>
    <xf numFmtId="0" fontId="43" fillId="2" borderId="11" xfId="4" applyFont="1" applyFill="1" applyBorder="1" applyAlignment="1" applyProtection="1">
      <alignment horizontal="left" vertical="center" wrapText="1" indent="3"/>
      <protection hidden="1"/>
    </xf>
    <xf numFmtId="3" fontId="40" fillId="0" borderId="9" xfId="0" applyNumberFormat="1" applyFont="1" applyBorder="1" applyAlignment="1" applyProtection="1">
      <alignment horizontal="center"/>
      <protection hidden="1"/>
    </xf>
    <xf numFmtId="0" fontId="41" fillId="2" borderId="11" xfId="4" applyFont="1" applyFill="1" applyBorder="1" applyAlignment="1" applyProtection="1">
      <alignment horizontal="left" vertical="center" wrapText="1" indent="1"/>
      <protection hidden="1"/>
    </xf>
    <xf numFmtId="164" fontId="7" fillId="0" borderId="9" xfId="0" applyNumberFormat="1" applyFont="1" applyBorder="1" applyAlignment="1" applyProtection="1">
      <alignment horizontal="center"/>
      <protection hidden="1"/>
    </xf>
    <xf numFmtId="164" fontId="40" fillId="0" borderId="9" xfId="1" applyNumberFormat="1" applyFont="1" applyFill="1" applyBorder="1" applyAlignment="1" applyProtection="1">
      <alignment horizontal="center" vertical="center"/>
      <protection hidden="1"/>
    </xf>
    <xf numFmtId="0" fontId="36" fillId="0" borderId="5" xfId="0" applyFont="1" applyBorder="1" applyAlignment="1" applyProtection="1"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42" fillId="2" borderId="5" xfId="0" applyFont="1" applyFill="1" applyBorder="1" applyAlignment="1" applyProtection="1">
      <alignment horizontal="center" vertical="center"/>
      <protection hidden="1"/>
    </xf>
    <xf numFmtId="0" fontId="37" fillId="2" borderId="5" xfId="0" applyFont="1" applyFill="1" applyBorder="1" applyProtection="1">
      <protection hidden="1"/>
    </xf>
    <xf numFmtId="0" fontId="40" fillId="2" borderId="6" xfId="0" applyFont="1" applyFill="1" applyBorder="1" applyProtection="1">
      <protection hidden="1"/>
    </xf>
    <xf numFmtId="3" fontId="44" fillId="2" borderId="6" xfId="0" applyNumberFormat="1" applyFont="1" applyFill="1" applyBorder="1" applyProtection="1">
      <protection hidden="1"/>
    </xf>
    <xf numFmtId="0" fontId="40" fillId="2" borderId="0" xfId="0" applyFont="1" applyFill="1" applyProtection="1">
      <protection hidden="1"/>
    </xf>
    <xf numFmtId="0" fontId="45" fillId="0" borderId="0" xfId="0" applyFont="1" applyAlignment="1" applyProtection="1">
      <alignment horizontal="justify" vertical="center"/>
      <protection hidden="1"/>
    </xf>
    <xf numFmtId="0" fontId="45" fillId="0" borderId="0" xfId="0" applyFont="1" applyProtection="1">
      <protection hidden="1"/>
    </xf>
    <xf numFmtId="0" fontId="35" fillId="0" borderId="1" xfId="0" applyFont="1" applyBorder="1"/>
    <xf numFmtId="0" fontId="22" fillId="0" borderId="31" xfId="4" applyBorder="1"/>
    <xf numFmtId="0" fontId="0" fillId="0" borderId="32" xfId="0" applyBorder="1"/>
    <xf numFmtId="0" fontId="0" fillId="0" borderId="2" xfId="0" applyBorder="1"/>
    <xf numFmtId="0" fontId="35" fillId="0" borderId="4" xfId="0" applyFont="1" applyBorder="1"/>
    <xf numFmtId="0" fontId="46" fillId="0" borderId="0" xfId="4" applyFont="1" applyBorder="1"/>
    <xf numFmtId="0" fontId="22" fillId="0" borderId="0" xfId="4" applyBorder="1"/>
    <xf numFmtId="0" fontId="0" fillId="0" borderId="21" xfId="0" applyBorder="1"/>
    <xf numFmtId="0" fontId="46" fillId="10" borderId="0" xfId="4" applyFont="1" applyFill="1" applyBorder="1"/>
    <xf numFmtId="0" fontId="22" fillId="10" borderId="0" xfId="4" applyFill="1" applyBorder="1"/>
    <xf numFmtId="0" fontId="0" fillId="10" borderId="21" xfId="0" applyFill="1" applyBorder="1"/>
    <xf numFmtId="0" fontId="0" fillId="10" borderId="0" xfId="0" applyFill="1" applyBorder="1"/>
    <xf numFmtId="0" fontId="0" fillId="10" borderId="34" xfId="0" applyFill="1" applyBorder="1"/>
    <xf numFmtId="0" fontId="0" fillId="0" borderId="34" xfId="0" applyBorder="1"/>
    <xf numFmtId="0" fontId="46" fillId="11" borderId="0" xfId="4" applyFont="1" applyFill="1" applyBorder="1"/>
    <xf numFmtId="0" fontId="22" fillId="11" borderId="0" xfId="4" applyFill="1" applyBorder="1"/>
    <xf numFmtId="0" fontId="22" fillId="12" borderId="0" xfId="4" applyFill="1" applyBorder="1"/>
    <xf numFmtId="0" fontId="0" fillId="12" borderId="21" xfId="0" applyFill="1" applyBorder="1"/>
    <xf numFmtId="0" fontId="0" fillId="12" borderId="0" xfId="0" applyFill="1" applyBorder="1"/>
    <xf numFmtId="0" fontId="47" fillId="12" borderId="34" xfId="0" applyFont="1" applyFill="1" applyBorder="1"/>
    <xf numFmtId="1" fontId="0" fillId="12" borderId="0" xfId="0" applyNumberFormat="1" applyFill="1" applyBorder="1"/>
    <xf numFmtId="1" fontId="47" fillId="12" borderId="34" xfId="0" applyNumberFormat="1" applyFont="1" applyFill="1" applyBorder="1"/>
    <xf numFmtId="0" fontId="0" fillId="12" borderId="0" xfId="0" applyNumberFormat="1" applyFill="1" applyBorder="1"/>
    <xf numFmtId="0" fontId="22" fillId="0" borderId="0" xfId="4" applyFill="1" applyBorder="1"/>
    <xf numFmtId="164" fontId="0" fillId="11" borderId="21" xfId="0" applyNumberFormat="1" applyFill="1" applyBorder="1"/>
    <xf numFmtId="164" fontId="0" fillId="11" borderId="0" xfId="0" applyNumberFormat="1" applyFill="1" applyBorder="1"/>
    <xf numFmtId="164" fontId="47" fillId="11" borderId="34" xfId="0" applyNumberFormat="1" applyFont="1" applyFill="1" applyBorder="1"/>
    <xf numFmtId="0" fontId="48" fillId="0" borderId="0" xfId="4" applyFont="1" applyBorder="1"/>
    <xf numFmtId="164" fontId="0" fillId="0" borderId="21" xfId="0" applyNumberFormat="1" applyBorder="1"/>
    <xf numFmtId="164" fontId="0" fillId="0" borderId="0" xfId="0" applyNumberFormat="1" applyBorder="1"/>
    <xf numFmtId="164" fontId="47" fillId="0" borderId="34" xfId="0" applyNumberFormat="1" applyFont="1" applyBorder="1"/>
    <xf numFmtId="164" fontId="35" fillId="11" borderId="21" xfId="0" applyNumberFormat="1" applyFont="1" applyFill="1" applyBorder="1"/>
    <xf numFmtId="164" fontId="35" fillId="11" borderId="0" xfId="0" applyNumberFormat="1" applyFont="1" applyFill="1" applyBorder="1"/>
    <xf numFmtId="0" fontId="49" fillId="0" borderId="0" xfId="4" applyFont="1" applyBorder="1"/>
    <xf numFmtId="14" fontId="48" fillId="0" borderId="0" xfId="4" applyNumberFormat="1" applyFont="1" applyBorder="1"/>
    <xf numFmtId="0" fontId="50" fillId="0" borderId="0" xfId="4" applyFont="1" applyBorder="1"/>
    <xf numFmtId="0" fontId="48" fillId="0" borderId="0" xfId="4" quotePrefix="1" applyFont="1" applyBorder="1" applyAlignment="1">
      <alignment horizontal="left"/>
    </xf>
    <xf numFmtId="164" fontId="35" fillId="10" borderId="21" xfId="0" applyNumberFormat="1" applyFont="1" applyFill="1" applyBorder="1"/>
    <xf numFmtId="164" fontId="35" fillId="10" borderId="0" xfId="0" applyNumberFormat="1" applyFont="1" applyFill="1" applyBorder="1"/>
    <xf numFmtId="164" fontId="47" fillId="10" borderId="35" xfId="0" applyNumberFormat="1" applyFont="1" applyFill="1" applyBorder="1"/>
    <xf numFmtId="0" fontId="0" fillId="0" borderId="36" xfId="0" applyBorder="1"/>
    <xf numFmtId="0" fontId="0" fillId="0" borderId="25" xfId="0" applyBorder="1"/>
    <xf numFmtId="0" fontId="35" fillId="11" borderId="0" xfId="4" applyFont="1" applyFill="1" applyBorder="1"/>
    <xf numFmtId="0" fontId="0" fillId="11" borderId="21" xfId="0" applyFill="1" applyBorder="1"/>
    <xf numFmtId="0" fontId="0" fillId="11" borderId="0" xfId="0" applyFill="1" applyBorder="1"/>
    <xf numFmtId="0" fontId="0" fillId="11" borderId="25" xfId="0" applyFill="1" applyBorder="1"/>
    <xf numFmtId="0" fontId="0" fillId="13" borderId="5" xfId="0" applyFill="1" applyBorder="1"/>
    <xf numFmtId="0" fontId="50" fillId="0" borderId="0" xfId="4" applyFont="1" applyBorder="1" applyAlignment="1">
      <alignment vertical="center" wrapText="1"/>
    </xf>
    <xf numFmtId="0" fontId="35" fillId="0" borderId="0" xfId="4" applyFont="1" applyBorder="1"/>
    <xf numFmtId="1" fontId="0" fillId="0" borderId="0" xfId="0" applyNumberFormat="1" applyBorder="1"/>
    <xf numFmtId="0" fontId="35" fillId="10" borderId="0" xfId="4" applyFont="1" applyFill="1" applyBorder="1"/>
    <xf numFmtId="0" fontId="35" fillId="14" borderId="0" xfId="4" applyFont="1" applyFill="1" applyBorder="1"/>
    <xf numFmtId="164" fontId="35" fillId="14" borderId="25" xfId="4" applyNumberFormat="1" applyFont="1" applyFill="1" applyBorder="1"/>
    <xf numFmtId="164" fontId="0" fillId="14" borderId="0" xfId="0" applyNumberFormat="1" applyFill="1" applyBorder="1"/>
    <xf numFmtId="164" fontId="0" fillId="14" borderId="25" xfId="0" applyNumberFormat="1" applyFill="1" applyBorder="1"/>
    <xf numFmtId="0" fontId="35" fillId="14" borderId="6" xfId="4" applyFont="1" applyFill="1" applyBorder="1"/>
    <xf numFmtId="9" fontId="35" fillId="14" borderId="40" xfId="0" applyNumberFormat="1" applyFont="1" applyFill="1" applyBorder="1"/>
    <xf numFmtId="10" fontId="0" fillId="14" borderId="6" xfId="0" applyNumberFormat="1" applyFill="1" applyBorder="1"/>
    <xf numFmtId="10" fontId="0" fillId="14" borderId="40" xfId="0" applyNumberFormat="1" applyFill="1" applyBorder="1"/>
    <xf numFmtId="10" fontId="0" fillId="0" borderId="0" xfId="0" applyNumberFormat="1"/>
    <xf numFmtId="1" fontId="0" fillId="12" borderId="21" xfId="0" applyNumberFormat="1" applyFill="1" applyBorder="1"/>
    <xf numFmtId="0" fontId="48" fillId="0" borderId="0" xfId="4" applyNumberFormat="1" applyFont="1" applyBorder="1"/>
    <xf numFmtId="0" fontId="0" fillId="0" borderId="0" xfId="0" applyNumberFormat="1" applyBorder="1"/>
    <xf numFmtId="0" fontId="48" fillId="0" borderId="0" xfId="4" applyFont="1" applyFill="1" applyBorder="1"/>
    <xf numFmtId="164" fontId="0" fillId="0" borderId="21" xfId="0" applyNumberFormat="1" applyFill="1" applyBorder="1"/>
    <xf numFmtId="164" fontId="0" fillId="0" borderId="0" xfId="0" applyNumberFormat="1" applyFill="1" applyBorder="1"/>
    <xf numFmtId="0" fontId="0" fillId="0" borderId="41" xfId="0" applyBorder="1"/>
    <xf numFmtId="1" fontId="0" fillId="10" borderId="21" xfId="0" applyNumberFormat="1" applyFill="1" applyBorder="1"/>
    <xf numFmtId="1" fontId="0" fillId="10" borderId="0" xfId="0" applyNumberFormat="1" applyFill="1" applyBorder="1"/>
    <xf numFmtId="0" fontId="1" fillId="12" borderId="0" xfId="4" applyFont="1" applyFill="1" applyBorder="1"/>
    <xf numFmtId="1" fontId="43" fillId="2" borderId="9" xfId="3" applyNumberFormat="1" applyFont="1" applyFill="1" applyBorder="1" applyAlignment="1" applyProtection="1">
      <alignment horizontal="center"/>
      <protection hidden="1"/>
    </xf>
    <xf numFmtId="0" fontId="46" fillId="0" borderId="0" xfId="4" applyFont="1" applyFill="1" applyBorder="1"/>
    <xf numFmtId="0" fontId="0" fillId="0" borderId="21" xfId="0" applyFill="1" applyBorder="1"/>
    <xf numFmtId="0" fontId="0" fillId="0" borderId="0" xfId="0" applyFill="1" applyBorder="1"/>
    <xf numFmtId="0" fontId="0" fillId="0" borderId="34" xfId="0" applyFill="1" applyBorder="1"/>
    <xf numFmtId="1" fontId="7" fillId="0" borderId="9" xfId="0" applyNumberFormat="1" applyFont="1" applyBorder="1" applyAlignment="1" applyProtection="1">
      <alignment horizontal="center"/>
      <protection hidden="1"/>
    </xf>
    <xf numFmtId="0" fontId="0" fillId="12" borderId="0" xfId="4" applyFont="1" applyFill="1" applyBorder="1"/>
    <xf numFmtId="170" fontId="0" fillId="12" borderId="21" xfId="0" applyNumberFormat="1" applyFill="1" applyBorder="1"/>
    <xf numFmtId="0" fontId="6" fillId="5" borderId="0" xfId="0" applyFont="1" applyFill="1" applyBorder="1" applyAlignment="1" applyProtection="1">
      <alignment horizontal="left" vertical="center" wrapText="1" indent="2"/>
      <protection hidden="1"/>
    </xf>
    <xf numFmtId="0" fontId="39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left" vertical="center" indent="1"/>
      <protection hidden="1"/>
    </xf>
    <xf numFmtId="0" fontId="51" fillId="2" borderId="9" xfId="0" applyFont="1" applyFill="1" applyBorder="1" applyAlignment="1" applyProtection="1">
      <alignment horizontal="center" vertical="center"/>
      <protection hidden="1"/>
    </xf>
    <xf numFmtId="0" fontId="51" fillId="2" borderId="16" xfId="0" applyFont="1" applyFill="1" applyBorder="1" applyAlignment="1" applyProtection="1">
      <alignment horizontal="center" vertical="center"/>
      <protection hidden="1"/>
    </xf>
    <xf numFmtId="0" fontId="40" fillId="2" borderId="9" xfId="0" applyFont="1" applyFill="1" applyBorder="1" applyAlignment="1" applyProtection="1">
      <alignment horizontal="left" vertical="center" indent="2"/>
      <protection hidden="1"/>
    </xf>
    <xf numFmtId="166" fontId="44" fillId="3" borderId="9" xfId="0" applyNumberFormat="1" applyFont="1" applyFill="1" applyBorder="1" applyAlignment="1" applyProtection="1">
      <alignment horizontal="center" vertical="center"/>
      <protection locked="0"/>
    </xf>
    <xf numFmtId="164" fontId="44" fillId="3" borderId="11" xfId="0" applyNumberFormat="1" applyFont="1" applyFill="1" applyBorder="1" applyAlignment="1" applyProtection="1">
      <alignment horizontal="center" vertical="center" wrapText="1"/>
      <protection locked="0"/>
    </xf>
    <xf numFmtId="166" fontId="44" fillId="3" borderId="43" xfId="0" applyNumberFormat="1" applyFont="1" applyFill="1" applyBorder="1" applyAlignment="1" applyProtection="1">
      <alignment horizontal="center" vertical="center"/>
      <protection locked="0"/>
    </xf>
    <xf numFmtId="166" fontId="43" fillId="0" borderId="17" xfId="0" applyNumberFormat="1" applyFont="1" applyFill="1" applyBorder="1" applyAlignment="1" applyProtection="1">
      <alignment horizontal="center" vertical="center"/>
      <protection locked="0"/>
    </xf>
    <xf numFmtId="164" fontId="43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44" fillId="3" borderId="16" xfId="0" applyNumberFormat="1" applyFont="1" applyFill="1" applyBorder="1" applyAlignment="1" applyProtection="1">
      <alignment horizontal="center" vertical="center"/>
      <protection locked="0"/>
    </xf>
    <xf numFmtId="164" fontId="44" fillId="3" borderId="14" xfId="0" applyNumberFormat="1" applyFont="1" applyFill="1" applyBorder="1" applyAlignment="1" applyProtection="1">
      <alignment horizontal="center" vertical="center" wrapText="1"/>
      <protection locked="0"/>
    </xf>
    <xf numFmtId="166" fontId="44" fillId="3" borderId="44" xfId="0" applyNumberFormat="1" applyFont="1" applyFill="1" applyBorder="1" applyAlignment="1" applyProtection="1">
      <alignment horizontal="center" vertical="center"/>
      <protection locked="0"/>
    </xf>
    <xf numFmtId="0" fontId="40" fillId="2" borderId="11" xfId="0" applyFont="1" applyFill="1" applyBorder="1" applyAlignment="1" applyProtection="1">
      <alignment horizontal="left" vertical="center" indent="2"/>
      <protection hidden="1"/>
    </xf>
    <xf numFmtId="166" fontId="44" fillId="3" borderId="22" xfId="0" applyNumberFormat="1" applyFont="1" applyFill="1" applyBorder="1" applyAlignment="1" applyProtection="1">
      <alignment horizontal="center" vertical="center"/>
      <protection locked="0"/>
    </xf>
    <xf numFmtId="164" fontId="4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2" borderId="18" xfId="0" applyFont="1" applyFill="1" applyBorder="1" applyAlignment="1" applyProtection="1">
      <alignment horizontal="center" vertical="center"/>
      <protection hidden="1"/>
    </xf>
    <xf numFmtId="164" fontId="44" fillId="3" borderId="45" xfId="0" applyNumberFormat="1" applyFont="1" applyFill="1" applyBorder="1" applyAlignment="1" applyProtection="1">
      <alignment horizontal="center" vertical="center" wrapText="1"/>
      <protection locked="0"/>
    </xf>
    <xf numFmtId="166" fontId="43" fillId="0" borderId="20" xfId="0" applyNumberFormat="1" applyFont="1" applyFill="1" applyBorder="1" applyAlignment="1" applyProtection="1">
      <alignment horizontal="center" vertical="center"/>
      <protection locked="0"/>
    </xf>
    <xf numFmtId="164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43" fillId="0" borderId="15" xfId="0" applyNumberFormat="1" applyFont="1" applyFill="1" applyBorder="1" applyAlignment="1" applyProtection="1">
      <alignment horizontal="center" vertical="center"/>
      <protection locked="0"/>
    </xf>
    <xf numFmtId="164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52" fillId="0" borderId="11" xfId="0" applyNumberFormat="1" applyFont="1" applyFill="1" applyBorder="1" applyAlignment="1" applyProtection="1">
      <alignment horizontal="center" vertical="center"/>
      <protection locked="0"/>
    </xf>
    <xf numFmtId="164" fontId="52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left" vertical="center" indent="1"/>
      <protection hidden="1"/>
    </xf>
    <xf numFmtId="0" fontId="53" fillId="2" borderId="17" xfId="0" applyFont="1" applyFill="1" applyBorder="1" applyAlignment="1" applyProtection="1">
      <alignment horizontal="center" vertical="center" wrapText="1"/>
      <protection hidden="1"/>
    </xf>
    <xf numFmtId="3" fontId="44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wrapText="1"/>
      <protection hidden="1"/>
    </xf>
    <xf numFmtId="0" fontId="40" fillId="2" borderId="17" xfId="0" applyFont="1" applyFill="1" applyBorder="1" applyAlignment="1" applyProtection="1">
      <alignment horizontal="left" vertical="center" wrapText="1" indent="2"/>
      <protection hidden="1"/>
    </xf>
    <xf numFmtId="0" fontId="40" fillId="5" borderId="20" xfId="0" applyFont="1" applyFill="1" applyBorder="1" applyAlignment="1" applyProtection="1">
      <alignment horizontal="left" vertical="center" wrapText="1" indent="2"/>
      <protection hidden="1"/>
    </xf>
    <xf numFmtId="0" fontId="40" fillId="5" borderId="11" xfId="0" applyFont="1" applyFill="1" applyBorder="1" applyAlignment="1" applyProtection="1">
      <alignment horizontal="left" vertical="center" indent="2"/>
      <protection hidden="1"/>
    </xf>
    <xf numFmtId="0" fontId="40" fillId="5" borderId="13" xfId="0" applyFont="1" applyFill="1" applyBorder="1" applyAlignment="1" applyProtection="1">
      <alignment horizontal="left" vertical="center" indent="1"/>
      <protection hidden="1"/>
    </xf>
    <xf numFmtId="3" fontId="4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hidden="1"/>
    </xf>
    <xf numFmtId="9" fontId="44" fillId="3" borderId="9" xfId="3" applyFont="1" applyFill="1" applyBorder="1" applyAlignment="1" applyProtection="1">
      <alignment horizontal="center"/>
      <protection locked="0"/>
    </xf>
    <xf numFmtId="10" fontId="13" fillId="0" borderId="0" xfId="0" applyNumberFormat="1" applyFont="1" applyBorder="1" applyAlignment="1" applyProtection="1">
      <alignment horizontal="left" vertical="center" indent="3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left" vertical="center" indent="1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54" fillId="0" borderId="9" xfId="4" applyFont="1" applyBorder="1" applyAlignment="1">
      <alignment horizontal="left"/>
    </xf>
    <xf numFmtId="0" fontId="54" fillId="0" borderId="9" xfId="4" applyFont="1" applyFill="1" applyBorder="1" applyAlignment="1">
      <alignment horizontal="left"/>
    </xf>
    <xf numFmtId="0" fontId="13" fillId="2" borderId="1" xfId="0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13" fillId="2" borderId="2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Protection="1">
      <protection hidden="1"/>
    </xf>
    <xf numFmtId="0" fontId="13" fillId="0" borderId="4" xfId="0" applyFont="1" applyFill="1" applyBorder="1" applyProtection="1">
      <protection hidden="1"/>
    </xf>
    <xf numFmtId="0" fontId="55" fillId="0" borderId="0" xfId="0" applyFont="1" applyFill="1" applyProtection="1">
      <protection hidden="1"/>
    </xf>
    <xf numFmtId="0" fontId="14" fillId="0" borderId="5" xfId="0" applyFont="1" applyFill="1" applyBorder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5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Protection="1">
      <protection hidden="1"/>
    </xf>
    <xf numFmtId="0" fontId="13" fillId="0" borderId="5" xfId="0" applyFont="1" applyFill="1" applyBorder="1" applyProtection="1"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3" fillId="2" borderId="0" xfId="0" applyFont="1" applyFill="1" applyProtection="1">
      <protection hidden="1"/>
    </xf>
    <xf numFmtId="0" fontId="13" fillId="2" borderId="8" xfId="0" applyFont="1" applyFill="1" applyBorder="1" applyAlignment="1" applyProtection="1">
      <alignment horizontal="center"/>
      <protection hidden="1"/>
    </xf>
    <xf numFmtId="44" fontId="15" fillId="2" borderId="8" xfId="2" applyFont="1" applyFill="1" applyBorder="1" applyProtection="1">
      <protection hidden="1"/>
    </xf>
    <xf numFmtId="10" fontId="16" fillId="2" borderId="0" xfId="0" applyNumberFormat="1" applyFont="1" applyFill="1" applyProtection="1">
      <protection hidden="1"/>
    </xf>
    <xf numFmtId="0" fontId="17" fillId="5" borderId="5" xfId="0" applyFont="1" applyFill="1" applyBorder="1" applyAlignment="1" applyProtection="1">
      <alignment vertical="center"/>
      <protection hidden="1"/>
    </xf>
    <xf numFmtId="0" fontId="55" fillId="15" borderId="9" xfId="0" applyFont="1" applyFill="1" applyBorder="1" applyAlignment="1" applyProtection="1">
      <alignment horizontal="left" vertical="center" wrapText="1" indent="1"/>
      <protection hidden="1"/>
    </xf>
    <xf numFmtId="0" fontId="17" fillId="15" borderId="18" xfId="0" applyFont="1" applyFill="1" applyBorder="1" applyAlignment="1" applyProtection="1">
      <alignment horizontal="center"/>
      <protection hidden="1"/>
    </xf>
    <xf numFmtId="0" fontId="17" fillId="15" borderId="5" xfId="0" applyFont="1" applyFill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left" indent="3"/>
      <protection hidden="1"/>
    </xf>
    <xf numFmtId="0" fontId="19" fillId="2" borderId="9" xfId="4" applyFont="1" applyFill="1" applyBorder="1" applyAlignment="1" applyProtection="1">
      <alignment horizontal="center" vertical="center"/>
      <protection hidden="1"/>
    </xf>
    <xf numFmtId="164" fontId="55" fillId="15" borderId="9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9" xfId="1" applyNumberFormat="1" applyFont="1" applyFill="1" applyBorder="1" applyAlignment="1" applyProtection="1">
      <alignment horizontal="center" vertical="center"/>
      <protection hidden="1"/>
    </xf>
    <xf numFmtId="171" fontId="17" fillId="0" borderId="5" xfId="1" applyNumberFormat="1" applyFont="1" applyFill="1" applyBorder="1" applyAlignment="1" applyProtection="1">
      <alignment horizontal="center"/>
      <protection hidden="1"/>
    </xf>
    <xf numFmtId="164" fontId="13" fillId="0" borderId="9" xfId="1" applyNumberFormat="1" applyFont="1" applyFill="1" applyBorder="1" applyAlignment="1" applyProtection="1">
      <alignment horizontal="center"/>
      <protection hidden="1"/>
    </xf>
    <xf numFmtId="171" fontId="13" fillId="0" borderId="5" xfId="1" applyNumberFormat="1" applyFont="1" applyFill="1" applyBorder="1" applyAlignment="1" applyProtection="1">
      <alignment horizontal="center"/>
      <protection hidden="1"/>
    </xf>
    <xf numFmtId="3" fontId="55" fillId="0" borderId="5" xfId="0" applyNumberFormat="1" applyFont="1" applyBorder="1" applyAlignment="1" applyProtection="1">
      <alignment horizontal="center"/>
      <protection hidden="1"/>
    </xf>
    <xf numFmtId="164" fontId="17" fillId="0" borderId="9" xfId="1" applyNumberFormat="1" applyFont="1" applyFill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left" indent="1"/>
      <protection hidden="1"/>
    </xf>
    <xf numFmtId="3" fontId="17" fillId="0" borderId="9" xfId="1" applyNumberFormat="1" applyFont="1" applyFill="1" applyBorder="1" applyAlignment="1" applyProtection="1">
      <alignment horizontal="center"/>
      <protection hidden="1"/>
    </xf>
    <xf numFmtId="0" fontId="17" fillId="2" borderId="4" xfId="0" applyFont="1" applyFill="1" applyBorder="1" applyProtection="1">
      <protection hidden="1"/>
    </xf>
    <xf numFmtId="0" fontId="13" fillId="0" borderId="9" xfId="0" applyFont="1" applyBorder="1" applyAlignment="1" applyProtection="1">
      <alignment horizontal="left" wrapText="1" indent="1"/>
      <protection hidden="1"/>
    </xf>
    <xf numFmtId="3" fontId="17" fillId="0" borderId="9" xfId="1" applyNumberFormat="1" applyFont="1" applyFill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/>
      <protection hidden="1"/>
    </xf>
    <xf numFmtId="3" fontId="13" fillId="0" borderId="9" xfId="1" applyNumberFormat="1" applyFont="1" applyFill="1" applyBorder="1" applyAlignment="1" applyProtection="1">
      <alignment horizontal="center"/>
      <protection hidden="1"/>
    </xf>
    <xf numFmtId="3" fontId="55" fillId="0" borderId="9" xfId="0" applyNumberFormat="1" applyFont="1" applyBorder="1" applyAlignment="1" applyProtection="1">
      <alignment horizontal="center"/>
      <protection hidden="1"/>
    </xf>
    <xf numFmtId="171" fontId="13" fillId="2" borderId="4" xfId="1" applyNumberFormat="1" applyFont="1" applyFill="1" applyBorder="1" applyAlignment="1" applyProtection="1">
      <protection hidden="1"/>
    </xf>
    <xf numFmtId="171" fontId="13" fillId="15" borderId="9" xfId="1" applyNumberFormat="1" applyFont="1" applyFill="1" applyBorder="1" applyAlignment="1" applyProtection="1">
      <alignment horizontal="right" wrapText="1"/>
      <protection hidden="1"/>
    </xf>
    <xf numFmtId="171" fontId="13" fillId="15" borderId="9" xfId="1" applyNumberFormat="1" applyFont="1" applyFill="1" applyBorder="1" applyAlignment="1" applyProtection="1">
      <alignment horizontal="center" vertical="center"/>
      <protection hidden="1"/>
    </xf>
    <xf numFmtId="171" fontId="13" fillId="2" borderId="5" xfId="1" applyNumberFormat="1" applyFont="1" applyFill="1" applyBorder="1" applyAlignment="1" applyProtection="1">
      <protection hidden="1"/>
    </xf>
    <xf numFmtId="0" fontId="13" fillId="2" borderId="28" xfId="0" applyFont="1" applyFill="1" applyBorder="1" applyProtection="1">
      <protection hidden="1"/>
    </xf>
    <xf numFmtId="0" fontId="13" fillId="2" borderId="6" xfId="0" applyFont="1" applyFill="1" applyBorder="1" applyProtection="1">
      <protection hidden="1"/>
    </xf>
    <xf numFmtId="171" fontId="13" fillId="2" borderId="6" xfId="0" applyNumberFormat="1" applyFont="1" applyFill="1" applyBorder="1" applyProtection="1">
      <protection hidden="1"/>
    </xf>
    <xf numFmtId="0" fontId="13" fillId="2" borderId="29" xfId="0" applyFont="1" applyFill="1" applyBorder="1" applyProtection="1">
      <protection hidden="1"/>
    </xf>
    <xf numFmtId="0" fontId="29" fillId="0" borderId="9" xfId="0" applyFont="1" applyBorder="1" applyAlignment="1" applyProtection="1">
      <alignment horizontal="left" indent="3"/>
      <protection hidden="1"/>
    </xf>
    <xf numFmtId="164" fontId="29" fillId="0" borderId="9" xfId="1" applyNumberFormat="1" applyFont="1" applyFill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left" indent="3"/>
      <protection hidden="1"/>
    </xf>
    <xf numFmtId="164" fontId="20" fillId="0" borderId="9" xfId="1" applyNumberFormat="1" applyFont="1" applyFill="1" applyBorder="1" applyAlignment="1" applyProtection="1">
      <alignment horizontal="center"/>
      <protection hidden="1"/>
    </xf>
    <xf numFmtId="0" fontId="20" fillId="0" borderId="9" xfId="0" applyFont="1" applyBorder="1" applyAlignment="1" applyProtection="1">
      <alignment horizontal="left" indent="5"/>
      <protection hidden="1"/>
    </xf>
    <xf numFmtId="171" fontId="13" fillId="15" borderId="0" xfId="1" applyNumberFormat="1" applyFont="1" applyFill="1" applyBorder="1" applyAlignment="1" applyProtection="1">
      <alignment horizontal="right" wrapText="1"/>
      <protection hidden="1"/>
    </xf>
    <xf numFmtId="171" fontId="13" fillId="15" borderId="0" xfId="1" applyNumberFormat="1" applyFont="1" applyFill="1" applyBorder="1" applyAlignment="1" applyProtection="1">
      <alignment horizontal="center" vertical="center"/>
      <protection hidden="1"/>
    </xf>
    <xf numFmtId="5" fontId="18" fillId="16" borderId="0" xfId="1" applyNumberFormat="1" applyFont="1" applyFill="1" applyBorder="1" applyAlignment="1" applyProtection="1">
      <alignment horizontal="center" vertical="center"/>
      <protection hidden="1"/>
    </xf>
    <xf numFmtId="0" fontId="55" fillId="15" borderId="0" xfId="0" applyFont="1" applyFill="1" applyBorder="1" applyAlignment="1" applyProtection="1">
      <alignment horizontal="left" vertical="center" wrapText="1" indent="1"/>
      <protection hidden="1"/>
    </xf>
    <xf numFmtId="164" fontId="17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indent="3"/>
      <protection hidden="1"/>
    </xf>
    <xf numFmtId="164" fontId="13" fillId="0" borderId="0" xfId="1" applyNumberFormat="1" applyFont="1" applyFill="1" applyBorder="1" applyAlignment="1" applyProtection="1">
      <alignment horizontal="center"/>
      <protection hidden="1"/>
    </xf>
    <xf numFmtId="164" fontId="13" fillId="0" borderId="0" xfId="1" applyNumberFormat="1" applyFont="1" applyFill="1" applyBorder="1" applyAlignment="1" applyProtection="1">
      <alignment horizontal="center" vertical="center"/>
      <protection hidden="1"/>
    </xf>
    <xf numFmtId="164" fontId="17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3" fontId="17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wrapText="1" indent="1"/>
      <protection hidden="1"/>
    </xf>
    <xf numFmtId="3" fontId="13" fillId="0" borderId="0" xfId="1" applyNumberFormat="1" applyFont="1" applyFill="1" applyBorder="1" applyAlignment="1" applyProtection="1">
      <alignment horizontal="center"/>
      <protection hidden="1"/>
    </xf>
    <xf numFmtId="3" fontId="55" fillId="0" borderId="0" xfId="0" applyNumberFormat="1" applyFont="1" applyBorder="1" applyAlignment="1" applyProtection="1">
      <alignment horizontal="center"/>
      <protection hidden="1"/>
    </xf>
    <xf numFmtId="0" fontId="42" fillId="0" borderId="0" xfId="0" applyFont="1"/>
    <xf numFmtId="0" fontId="42" fillId="0" borderId="1" xfId="0" applyFont="1" applyBorder="1"/>
    <xf numFmtId="0" fontId="42" fillId="0" borderId="2" xfId="0" applyFont="1" applyBorder="1"/>
    <xf numFmtId="0" fontId="42" fillId="0" borderId="3" xfId="0" applyFont="1" applyBorder="1"/>
    <xf numFmtId="0" fontId="42" fillId="0" borderId="4" xfId="0" applyFont="1" applyBorder="1"/>
    <xf numFmtId="0" fontId="42" fillId="0" borderId="0" xfId="0" applyFont="1" applyBorder="1"/>
    <xf numFmtId="0" fontId="42" fillId="0" borderId="5" xfId="0" applyFont="1" applyBorder="1"/>
    <xf numFmtId="0" fontId="42" fillId="0" borderId="6" xfId="0" applyFont="1" applyBorder="1"/>
    <xf numFmtId="0" fontId="42" fillId="0" borderId="28" xfId="0" applyFont="1" applyBorder="1"/>
    <xf numFmtId="0" fontId="42" fillId="0" borderId="29" xfId="0" applyFont="1" applyBorder="1"/>
    <xf numFmtId="0" fontId="3" fillId="15" borderId="50" xfId="0" applyFont="1" applyFill="1" applyBorder="1" applyAlignment="1" applyProtection="1">
      <alignment horizontal="left" vertical="center" indent="2"/>
      <protection hidden="1"/>
    </xf>
    <xf numFmtId="164" fontId="58" fillId="15" borderId="50" xfId="0" applyNumberFormat="1" applyFont="1" applyFill="1" applyBorder="1" applyAlignment="1" applyProtection="1">
      <alignment horizontal="center" vertical="center"/>
      <protection hidden="1"/>
    </xf>
    <xf numFmtId="164" fontId="3" fillId="15" borderId="50" xfId="0" applyNumberFormat="1" applyFont="1" applyFill="1" applyBorder="1" applyAlignment="1" applyProtection="1">
      <alignment horizontal="center" vertical="center"/>
      <protection hidden="1"/>
    </xf>
    <xf numFmtId="9" fontId="42" fillId="0" borderId="50" xfId="3" applyFont="1" applyBorder="1" applyAlignment="1">
      <alignment horizontal="center" vertical="center"/>
    </xf>
    <xf numFmtId="0" fontId="3" fillId="15" borderId="51" xfId="0" applyFont="1" applyFill="1" applyBorder="1" applyAlignment="1" applyProtection="1">
      <alignment horizontal="left" vertical="center" indent="2"/>
      <protection hidden="1"/>
    </xf>
    <xf numFmtId="3" fontId="42" fillId="0" borderId="51" xfId="0" applyNumberFormat="1" applyFont="1" applyBorder="1" applyAlignment="1">
      <alignment horizontal="center" vertical="center"/>
    </xf>
    <xf numFmtId="1" fontId="3" fillId="15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/>
    <xf numFmtId="0" fontId="21" fillId="0" borderId="24" xfId="0" applyFont="1" applyBorder="1"/>
    <xf numFmtId="172" fontId="21" fillId="0" borderId="14" xfId="0" applyNumberFormat="1" applyFont="1" applyBorder="1"/>
    <xf numFmtId="172" fontId="21" fillId="0" borderId="24" xfId="0" applyNumberFormat="1" applyFont="1" applyBorder="1"/>
    <xf numFmtId="172" fontId="21" fillId="0" borderId="15" xfId="0" applyNumberFormat="1" applyFont="1" applyBorder="1"/>
    <xf numFmtId="0" fontId="21" fillId="0" borderId="14" xfId="0" applyFont="1" applyBorder="1"/>
    <xf numFmtId="169" fontId="21" fillId="0" borderId="0" xfId="2" applyNumberFormat="1" applyFont="1" applyBorder="1"/>
    <xf numFmtId="169" fontId="21" fillId="0" borderId="21" xfId="2" applyNumberFormat="1" applyFont="1" applyBorder="1"/>
    <xf numFmtId="0" fontId="0" fillId="0" borderId="18" xfId="0" applyBorder="1"/>
    <xf numFmtId="0" fontId="21" fillId="0" borderId="9" xfId="0" applyFont="1" applyBorder="1"/>
    <xf numFmtId="169" fontId="21" fillId="0" borderId="9" xfId="0" applyNumberFormat="1" applyFont="1" applyBorder="1"/>
    <xf numFmtId="169" fontId="0" fillId="0" borderId="0" xfId="0" applyNumberFormat="1"/>
    <xf numFmtId="0" fontId="0" fillId="0" borderId="18" xfId="0" applyBorder="1" applyAlignment="1">
      <alignment wrapText="1"/>
    </xf>
    <xf numFmtId="3" fontId="21" fillId="0" borderId="8" xfId="0" applyNumberFormat="1" applyFont="1" applyBorder="1"/>
    <xf numFmtId="0" fontId="0" fillId="0" borderId="14" xfId="0" applyBorder="1"/>
    <xf numFmtId="9" fontId="0" fillId="0" borderId="14" xfId="3" applyFont="1" applyBorder="1"/>
    <xf numFmtId="9" fontId="0" fillId="0" borderId="24" xfId="3" applyFont="1" applyBorder="1"/>
    <xf numFmtId="9" fontId="0" fillId="0" borderId="15" xfId="3" applyFont="1" applyBorder="1"/>
    <xf numFmtId="0" fontId="0" fillId="8" borderId="14" xfId="0" applyFill="1" applyBorder="1"/>
    <xf numFmtId="169" fontId="0" fillId="0" borderId="14" xfId="2" applyNumberFormat="1" applyFont="1" applyBorder="1"/>
    <xf numFmtId="0" fontId="0" fillId="17" borderId="21" xfId="0" applyFill="1" applyBorder="1"/>
    <xf numFmtId="169" fontId="0" fillId="0" borderId="21" xfId="2" applyNumberFormat="1" applyFont="1" applyBorder="1"/>
    <xf numFmtId="169" fontId="0" fillId="0" borderId="23" xfId="2" applyNumberFormat="1" applyFont="1" applyBorder="1"/>
    <xf numFmtId="0" fontId="0" fillId="18" borderId="16" xfId="0" applyFill="1" applyBorder="1"/>
    <xf numFmtId="169" fontId="0" fillId="0" borderId="16" xfId="2" applyNumberFormat="1" applyFont="1" applyBorder="1"/>
    <xf numFmtId="0" fontId="0" fillId="0" borderId="16" xfId="0" applyBorder="1" applyAlignment="1">
      <alignment horizontal="center" vertical="center"/>
    </xf>
    <xf numFmtId="44" fontId="0" fillId="0" borderId="41" xfId="0" applyNumberFormat="1" applyBorder="1" applyAlignment="1">
      <alignment horizontal="center" vertical="center"/>
    </xf>
    <xf numFmtId="169" fontId="0" fillId="0" borderId="18" xfId="2" applyNumberFormat="1" applyFont="1" applyBorder="1" applyAlignment="1">
      <alignment horizontal="center" vertical="center"/>
    </xf>
    <xf numFmtId="170" fontId="20" fillId="0" borderId="9" xfId="1" applyNumberFormat="1" applyFont="1" applyFill="1" applyBorder="1" applyAlignment="1" applyProtection="1">
      <alignment horizontal="center"/>
      <protection hidden="1"/>
    </xf>
    <xf numFmtId="5" fontId="18" fillId="0" borderId="9" xfId="1" applyNumberFormat="1" applyFont="1" applyFill="1" applyBorder="1" applyAlignment="1" applyProtection="1">
      <alignment horizontal="center" vertical="center"/>
      <protection hidden="1"/>
    </xf>
    <xf numFmtId="164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7" fillId="5" borderId="17" xfId="0" applyFont="1" applyFill="1" applyBorder="1" applyAlignment="1" applyProtection="1">
      <alignment horizontal="left" vertical="center" indent="1"/>
      <protection hidden="1"/>
    </xf>
    <xf numFmtId="0" fontId="7" fillId="5" borderId="11" xfId="0" applyFont="1" applyFill="1" applyBorder="1" applyAlignment="1" applyProtection="1">
      <alignment horizontal="left" vertical="center" indent="1"/>
      <protection hidden="1"/>
    </xf>
    <xf numFmtId="0" fontId="7" fillId="5" borderId="13" xfId="0" applyFont="1" applyFill="1" applyBorder="1" applyAlignment="1" applyProtection="1">
      <alignment horizontal="left" vertical="center" indent="1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166" fontId="18" fillId="0" borderId="11" xfId="0" applyNumberFormat="1" applyFont="1" applyFill="1" applyBorder="1" applyAlignment="1" applyProtection="1">
      <alignment horizontal="center" vertical="center"/>
      <protection locked="0"/>
    </xf>
    <xf numFmtId="166" fontId="18" fillId="0" borderId="4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17" fillId="2" borderId="9" xfId="0" applyFont="1" applyFill="1" applyBorder="1" applyAlignment="1" applyProtection="1">
      <alignment horizontal="center" vertical="center"/>
      <protection hidden="1"/>
    </xf>
    <xf numFmtId="164" fontId="16" fillId="3" borderId="49" xfId="0" applyNumberFormat="1" applyFont="1" applyFill="1" applyBorder="1" applyAlignment="1" applyProtection="1">
      <alignment horizontal="center" vertical="center"/>
      <protection locked="0"/>
    </xf>
    <xf numFmtId="164" fontId="16" fillId="3" borderId="13" xfId="0" applyNumberFormat="1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top" wrapText="1"/>
      <protection hidden="1"/>
    </xf>
    <xf numFmtId="0" fontId="13" fillId="5" borderId="0" xfId="0" applyFont="1" applyFill="1" applyBorder="1" applyAlignment="1" applyProtection="1">
      <alignment horizontal="center" vertical="top" wrapText="1"/>
      <protection hidden="1"/>
    </xf>
    <xf numFmtId="0" fontId="13" fillId="5" borderId="5" xfId="0" applyFont="1" applyFill="1" applyBorder="1" applyAlignment="1" applyProtection="1">
      <alignment horizontal="center" vertical="top" wrapText="1"/>
      <protection hidden="1"/>
    </xf>
    <xf numFmtId="9" fontId="18" fillId="0" borderId="17" xfId="3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17" fillId="4" borderId="12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 wrapText="1"/>
      <protection hidden="1"/>
    </xf>
    <xf numFmtId="0" fontId="13" fillId="2" borderId="19" xfId="0" applyFont="1" applyFill="1" applyBorder="1" applyAlignment="1" applyProtection="1">
      <alignment horizontal="center" vertical="center" wrapText="1"/>
      <protection hidden="1"/>
    </xf>
    <xf numFmtId="0" fontId="17" fillId="7" borderId="9" xfId="0" applyFont="1" applyFill="1" applyBorder="1" applyAlignment="1" applyProtection="1">
      <alignment horizontal="left" vertical="center" wrapText="1" indent="1"/>
      <protection hidden="1"/>
    </xf>
    <xf numFmtId="0" fontId="17" fillId="5" borderId="11" xfId="0" applyFont="1" applyFill="1" applyBorder="1" applyAlignment="1" applyProtection="1">
      <alignment horizontal="center" vertical="center"/>
      <protection hidden="1"/>
    </xf>
    <xf numFmtId="0" fontId="17" fillId="5" borderId="13" xfId="0" applyFont="1" applyFill="1" applyBorder="1" applyAlignment="1" applyProtection="1">
      <alignment horizontal="center" vertical="center"/>
      <protection hidden="1"/>
    </xf>
    <xf numFmtId="0" fontId="17" fillId="5" borderId="14" xfId="0" applyFont="1" applyFill="1" applyBorder="1" applyAlignment="1" applyProtection="1">
      <alignment horizontal="center" vertical="center"/>
      <protection hidden="1"/>
    </xf>
    <xf numFmtId="0" fontId="17" fillId="5" borderId="15" xfId="0" applyFont="1" applyFill="1" applyBorder="1" applyAlignment="1" applyProtection="1">
      <alignment horizontal="center" vertical="center"/>
      <protection hidden="1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 indent="1"/>
      <protection hidden="1"/>
    </xf>
    <xf numFmtId="0" fontId="17" fillId="0" borderId="11" xfId="0" applyFont="1" applyBorder="1" applyAlignment="1" applyProtection="1">
      <alignment horizontal="left" vertical="center" indent="1"/>
      <protection hidden="1"/>
    </xf>
    <xf numFmtId="0" fontId="17" fillId="0" borderId="13" xfId="0" applyFont="1" applyBorder="1" applyAlignment="1" applyProtection="1">
      <alignment horizontal="left" vertical="center" indent="1"/>
      <protection hidden="1"/>
    </xf>
    <xf numFmtId="0" fontId="17" fillId="0" borderId="20" xfId="0" applyFont="1" applyBorder="1" applyAlignment="1" applyProtection="1">
      <alignment horizontal="left" vertical="center" indent="1"/>
      <protection hidden="1"/>
    </xf>
    <xf numFmtId="10" fontId="13" fillId="0" borderId="14" xfId="0" applyNumberFormat="1" applyFont="1" applyBorder="1" applyAlignment="1" applyProtection="1">
      <alignment horizontal="left" vertical="center" indent="3"/>
      <protection hidden="1"/>
    </xf>
    <xf numFmtId="10" fontId="13" fillId="0" borderId="24" xfId="0" applyNumberFormat="1" applyFont="1" applyBorder="1" applyAlignment="1" applyProtection="1">
      <alignment horizontal="left" vertical="center" indent="3"/>
      <protection hidden="1"/>
    </xf>
    <xf numFmtId="0" fontId="17" fillId="2" borderId="14" xfId="0" applyFont="1" applyFill="1" applyBorder="1" applyAlignment="1" applyProtection="1">
      <alignment horizontal="left" vertical="center" indent="1"/>
      <protection hidden="1"/>
    </xf>
    <xf numFmtId="0" fontId="17" fillId="2" borderId="13" xfId="0" applyFont="1" applyFill="1" applyBorder="1" applyAlignment="1" applyProtection="1">
      <alignment horizontal="left" vertical="center" indent="1"/>
      <protection hidden="1"/>
    </xf>
    <xf numFmtId="0" fontId="17" fillId="2" borderId="20" xfId="0" applyFont="1" applyFill="1" applyBorder="1" applyAlignment="1" applyProtection="1">
      <alignment horizontal="left" vertical="center" indent="1"/>
      <protection hidden="1"/>
    </xf>
    <xf numFmtId="0" fontId="17" fillId="2" borderId="11" xfId="0" applyFont="1" applyFill="1" applyBorder="1" applyAlignment="1" applyProtection="1">
      <alignment horizontal="left" vertical="center" indent="1"/>
      <protection hidden="1"/>
    </xf>
    <xf numFmtId="0" fontId="18" fillId="5" borderId="11" xfId="0" applyFont="1" applyFill="1" applyBorder="1" applyAlignment="1" applyProtection="1">
      <alignment horizontal="left" vertical="center" indent="3"/>
      <protection hidden="1"/>
    </xf>
    <xf numFmtId="0" fontId="18" fillId="5" borderId="13" xfId="0" applyFont="1" applyFill="1" applyBorder="1" applyAlignment="1" applyProtection="1">
      <alignment horizontal="left" vertical="center" indent="3"/>
      <protection hidden="1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20" xfId="0" applyFont="1" applyFill="1" applyBorder="1" applyAlignment="1" applyProtection="1">
      <alignment horizontal="center" vertical="center"/>
      <protection locked="0"/>
    </xf>
    <xf numFmtId="0" fontId="18" fillId="5" borderId="20" xfId="0" applyFont="1" applyFill="1" applyBorder="1" applyAlignment="1" applyProtection="1">
      <alignment horizontal="left" vertical="center" indent="3"/>
      <protection hidden="1"/>
    </xf>
    <xf numFmtId="0" fontId="17" fillId="0" borderId="14" xfId="0" applyFont="1" applyBorder="1" applyAlignment="1" applyProtection="1">
      <alignment horizontal="left" vertical="center" indent="1"/>
      <protection hidden="1"/>
    </xf>
    <xf numFmtId="0" fontId="17" fillId="0" borderId="23" xfId="0" applyFont="1" applyBorder="1" applyAlignment="1" applyProtection="1">
      <alignment horizontal="left" vertical="center" indent="1"/>
      <protection hidden="1"/>
    </xf>
    <xf numFmtId="10" fontId="20" fillId="0" borderId="13" xfId="0" applyNumberFormat="1" applyFont="1" applyBorder="1" applyAlignment="1" applyProtection="1">
      <alignment horizontal="right" vertical="center"/>
      <protection hidden="1"/>
    </xf>
    <xf numFmtId="10" fontId="20" fillId="0" borderId="20" xfId="0" applyNumberFormat="1" applyFont="1" applyBorder="1" applyAlignment="1" applyProtection="1">
      <alignment horizontal="right" vertical="center"/>
      <protection hidden="1"/>
    </xf>
    <xf numFmtId="10" fontId="20" fillId="0" borderId="8" xfId="0" applyNumberFormat="1" applyFont="1" applyBorder="1" applyAlignment="1" applyProtection="1">
      <alignment horizontal="right" vertical="center"/>
      <protection hidden="1"/>
    </xf>
    <xf numFmtId="10" fontId="20" fillId="0" borderId="22" xfId="0" applyNumberFormat="1" applyFont="1" applyBorder="1" applyAlignment="1" applyProtection="1">
      <alignment horizontal="right" vertical="center"/>
      <protection hidden="1"/>
    </xf>
    <xf numFmtId="0" fontId="17" fillId="0" borderId="21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7" fillId="0" borderId="25" xfId="0" applyFont="1" applyBorder="1" applyAlignment="1" applyProtection="1">
      <alignment horizontal="left" vertical="center" indent="1"/>
      <protection hidden="1"/>
    </xf>
    <xf numFmtId="10" fontId="13" fillId="0" borderId="11" xfId="0" applyNumberFormat="1" applyFont="1" applyBorder="1" applyAlignment="1" applyProtection="1">
      <alignment horizontal="left" vertical="center" indent="3"/>
      <protection hidden="1"/>
    </xf>
    <xf numFmtId="10" fontId="13" fillId="0" borderId="13" xfId="0" applyNumberFormat="1" applyFont="1" applyBorder="1" applyAlignment="1" applyProtection="1">
      <alignment horizontal="left" vertical="center" indent="3"/>
      <protection hidden="1"/>
    </xf>
    <xf numFmtId="0" fontId="24" fillId="0" borderId="1" xfId="4" applyFont="1" applyBorder="1" applyAlignment="1" applyProtection="1">
      <alignment horizontal="center"/>
      <protection hidden="1"/>
    </xf>
    <xf numFmtId="0" fontId="24" fillId="0" borderId="2" xfId="4" applyFont="1" applyBorder="1" applyAlignment="1" applyProtection="1">
      <alignment horizontal="center"/>
      <protection hidden="1"/>
    </xf>
    <xf numFmtId="0" fontId="4" fillId="0" borderId="4" xfId="4" applyFont="1" applyFill="1" applyBorder="1" applyAlignment="1" applyProtection="1">
      <alignment horizontal="center" vertical="center"/>
      <protection hidden="1"/>
    </xf>
    <xf numFmtId="0" fontId="4" fillId="0" borderId="0" xfId="4" applyFont="1" applyFill="1" applyBorder="1" applyAlignment="1" applyProtection="1">
      <alignment horizontal="center" vertical="center"/>
      <protection hidden="1"/>
    </xf>
    <xf numFmtId="0" fontId="4" fillId="0" borderId="5" xfId="4" applyFont="1" applyFill="1" applyBorder="1" applyAlignment="1" applyProtection="1">
      <alignment horizontal="center" vertical="center"/>
      <protection hidden="1"/>
    </xf>
    <xf numFmtId="0" fontId="25" fillId="0" borderId="2" xfId="4" applyFont="1" applyBorder="1" applyAlignment="1" applyProtection="1">
      <alignment horizontal="center" vertical="center" wrapText="1"/>
      <protection hidden="1"/>
    </xf>
    <xf numFmtId="0" fontId="25" fillId="0" borderId="0" xfId="4" applyFont="1" applyBorder="1" applyAlignment="1" applyProtection="1">
      <alignment horizontal="center" vertical="center" wrapText="1"/>
      <protection hidden="1"/>
    </xf>
    <xf numFmtId="0" fontId="25" fillId="0" borderId="6" xfId="4" applyFont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0" fontId="25" fillId="2" borderId="6" xfId="0" applyFont="1" applyFill="1" applyBorder="1" applyAlignment="1" applyProtection="1">
      <alignment horizontal="center" vertical="center" wrapText="1"/>
      <protection hidden="1"/>
    </xf>
    <xf numFmtId="0" fontId="29" fillId="5" borderId="16" xfId="0" applyFont="1" applyFill="1" applyBorder="1" applyAlignment="1" applyProtection="1">
      <alignment horizontal="center" vertical="center"/>
      <protection hidden="1"/>
    </xf>
    <xf numFmtId="0" fontId="29" fillId="5" borderId="9" xfId="0" applyFont="1" applyFill="1" applyBorder="1" applyAlignment="1" applyProtection="1">
      <alignment horizontal="center" vertical="center"/>
      <protection hidden="1"/>
    </xf>
    <xf numFmtId="0" fontId="29" fillId="2" borderId="11" xfId="0" applyFont="1" applyFill="1" applyBorder="1" applyAlignment="1" applyProtection="1">
      <alignment horizontal="left" vertical="center"/>
      <protection hidden="1"/>
    </xf>
    <xf numFmtId="0" fontId="29" fillId="2" borderId="13" xfId="0" applyFont="1" applyFill="1" applyBorder="1" applyAlignment="1" applyProtection="1">
      <alignment horizontal="left" vertical="center"/>
      <protection hidden="1"/>
    </xf>
    <xf numFmtId="0" fontId="29" fillId="2" borderId="2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0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55" fillId="15" borderId="11" xfId="0" applyFont="1" applyFill="1" applyBorder="1" applyAlignment="1" applyProtection="1">
      <alignment horizontal="left" vertical="center" wrapText="1" indent="1"/>
      <protection hidden="1"/>
    </xf>
    <xf numFmtId="0" fontId="55" fillId="15" borderId="20" xfId="0" applyFont="1" applyFill="1" applyBorder="1" applyAlignment="1" applyProtection="1">
      <alignment horizontal="left" vertical="center" wrapText="1" indent="1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7" fillId="2" borderId="2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57" fillId="0" borderId="4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57" fillId="0" borderId="5" xfId="0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9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10" fontId="47" fillId="10" borderId="37" xfId="0" applyNumberFormat="1" applyFont="1" applyFill="1" applyBorder="1" applyAlignment="1">
      <alignment horizontal="center" vertical="center"/>
    </xf>
    <xf numFmtId="10" fontId="47" fillId="10" borderId="38" xfId="0" applyNumberFormat="1" applyFont="1" applyFill="1" applyBorder="1" applyAlignment="1">
      <alignment horizontal="center" vertical="center"/>
    </xf>
    <xf numFmtId="10" fontId="47" fillId="10" borderId="39" xfId="0" applyNumberFormat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</cellXfs>
  <cellStyles count="5">
    <cellStyle name="Денежный" xfId="2" builtinId="4"/>
    <cellStyle name="Обычный" xfId="0" builtinId="0"/>
    <cellStyle name="Обычный 2" xfId="4"/>
    <cellStyle name="Процентный" xfId="3" builtinId="5"/>
    <cellStyle name="Финансовый" xfId="1" builtinId="3"/>
  </cellStyles>
  <dxfs count="2">
    <dxf>
      <font>
        <color theme="0" tint="-0.34998626667073579"/>
      </font>
    </dxf>
    <dxf>
      <font>
        <color theme="0" tint="-0.3499862666707357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033913877947167"/>
          <c:y val="0.11863715425703102"/>
          <c:w val="0.46625832859410449"/>
          <c:h val="0.80205537608938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графики!$C$3</c:f>
              <c:strCache>
                <c:ptCount val="1"/>
                <c:pt idx="0">
                  <c:v>Дней до задачи</c:v>
                </c:pt>
              </c:strCache>
            </c:strRef>
          </c:tx>
          <c:spPr>
            <a:solidFill>
              <a:srgbClr val="013F53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Lato Light" panose="020F0502020204030203" pitchFamily="34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графики!$B$4:$B$11</c:f>
              <c:strCache>
                <c:ptCount val="8"/>
                <c:pt idx="0">
                  <c:v>Официальное открытие</c:v>
                </c:pt>
                <c:pt idx="1">
                  <c:v>Старт маркетинговой кампании</c:v>
                </c:pt>
                <c:pt idx="2">
                  <c:v>Настройка программного комплекса и мобильных приложений</c:v>
                </c:pt>
                <c:pt idx="3">
                  <c:v>Покупка оборудования</c:v>
                </c:pt>
                <c:pt idx="4">
                  <c:v>Поиск сотрудников</c:v>
                </c:pt>
                <c:pt idx="5">
                  <c:v>Поиск помещения</c:v>
                </c:pt>
                <c:pt idx="6">
                  <c:v>Регистрация юр. лица</c:v>
                </c:pt>
                <c:pt idx="7">
                  <c:v>Заключение договора франчайзинга</c:v>
                </c:pt>
              </c:strCache>
            </c:strRef>
          </c:cat>
          <c:val>
            <c:numRef>
              <c:f>графики!$C$4:$C$11</c:f>
              <c:numCache>
                <c:formatCode>General</c:formatCode>
                <c:ptCount val="8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B2-4C10-A1C1-73F0F163EB8A}"/>
            </c:ext>
          </c:extLst>
        </c:ser>
        <c:ser>
          <c:idx val="1"/>
          <c:order val="1"/>
          <c:tx>
            <c:strRef>
              <c:f>графики!$D$3</c:f>
              <c:strCache>
                <c:ptCount val="1"/>
                <c:pt idx="0">
                  <c:v>Дней на задачу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Lato Light" panose="020F0502020204030203" pitchFamily="34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графики!$B$4:$B$11</c:f>
              <c:strCache>
                <c:ptCount val="8"/>
                <c:pt idx="0">
                  <c:v>Официальное открытие</c:v>
                </c:pt>
                <c:pt idx="1">
                  <c:v>Старт маркетинговой кампании</c:v>
                </c:pt>
                <c:pt idx="2">
                  <c:v>Настройка программного комплекса и мобильных приложений</c:v>
                </c:pt>
                <c:pt idx="3">
                  <c:v>Покупка оборудования</c:v>
                </c:pt>
                <c:pt idx="4">
                  <c:v>Поиск сотрудников</c:v>
                </c:pt>
                <c:pt idx="5">
                  <c:v>Поиск помещения</c:v>
                </c:pt>
                <c:pt idx="6">
                  <c:v>Регистрация юр. лица</c:v>
                </c:pt>
                <c:pt idx="7">
                  <c:v>Заключение договора франчайзинга</c:v>
                </c:pt>
              </c:strCache>
            </c:strRef>
          </c:cat>
          <c:val>
            <c:numRef>
              <c:f>графики!$D$4:$D$11</c:f>
              <c:numCache>
                <c:formatCode>General</c:formatCode>
                <c:ptCount val="8"/>
                <c:pt idx="0">
                  <c:v>1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25</c:v>
                </c:pt>
                <c:pt idx="5">
                  <c:v>10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B2-4C10-A1C1-73F0F163EB8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554368"/>
        <c:axId val="97860928"/>
      </c:barChart>
      <c:catAx>
        <c:axId val="98554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013F5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Lato Light" panose="020F0502020204030203" pitchFamily="34" charset="0"/>
                <a:cs typeface="Times New Roman" panose="02020603050405020304" pitchFamily="18" charset="0"/>
              </a:defRPr>
            </a:pPr>
            <a:endParaRPr lang="ru-RU"/>
          </a:p>
        </c:txPr>
        <c:crossAx val="97860928"/>
        <c:crosses val="autoZero"/>
        <c:auto val="1"/>
        <c:lblAlgn val="ctr"/>
        <c:lblOffset val="100"/>
        <c:noMultiLvlLbl val="0"/>
      </c:catAx>
      <c:valAx>
        <c:axId val="9786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Lato Light" panose="020F0502020204030203" pitchFamily="34" charset="0"/>
                <a:cs typeface="Times New Roman" panose="02020603050405020304" pitchFamily="18" charset="0"/>
              </a:defRPr>
            </a:pPr>
            <a:endParaRPr lang="ru-RU"/>
          </a:p>
        </c:txPr>
        <c:crossAx val="98554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Lato Light" panose="020F0502020204030203" pitchFamily="34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imes New Roman" panose="02020603050405020304" pitchFamily="18" charset="0"/>
          <a:ea typeface="Lato Light" panose="020F0502020204030203" pitchFamily="34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337-4262-BEF0-03F540E5A2C5}"/>
              </c:ext>
            </c:extLst>
          </c:dPt>
          <c:dPt>
            <c:idx val="1"/>
            <c:bubble3D val="0"/>
            <c:explosion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03-B337-4262-BEF0-03F540E5A2C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337-4262-BEF0-03F540E5A2C5}"/>
              </c:ext>
            </c:extLst>
          </c:dPt>
          <c:dPt>
            <c:idx val="3"/>
            <c:bubble3D val="0"/>
            <c:explosion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7-B337-4262-BEF0-03F540E5A2C5}"/>
              </c:ext>
            </c:extLst>
          </c:dPt>
          <c:dPt>
            <c:idx val="4"/>
            <c:bubble3D val="0"/>
            <c:explosion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9-B337-4262-BEF0-03F540E5A2C5}"/>
              </c:ext>
            </c:extLst>
          </c:dPt>
          <c:dPt>
            <c:idx val="5"/>
            <c:bubble3D val="0"/>
            <c:explosion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0B-B18B-4FBF-B946-2CCEFCAE373A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E59-4EE3-B988-F3FECEFEF7E9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9E0-49C6-B530-1E1ECB1D7264}"/>
              </c:ext>
            </c:extLst>
          </c:dPt>
          <c:dLbls>
            <c:dLbl>
              <c:idx val="0"/>
              <c:layout>
                <c:manualLayout>
                  <c:x val="0.1019157026629437"/>
                  <c:y val="5.445752079418522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37-4262-BEF0-03F540E5A2C5}"/>
                </c:ext>
              </c:extLst>
            </c:dLbl>
            <c:dLbl>
              <c:idx val="1"/>
              <c:layout>
                <c:manualLayout>
                  <c:x val="0.10593869092595465"/>
                  <c:y val="4.562180727053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4002858539061844"/>
                      <c:h val="6.41438874957622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37-4262-BEF0-03F540E5A2C5}"/>
                </c:ext>
              </c:extLst>
            </c:dLbl>
            <c:dLbl>
              <c:idx val="2"/>
              <c:layout>
                <c:manualLayout>
                  <c:x val="2.6820977655838455E-3"/>
                  <c:y val="0.10707885291376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477139923544214"/>
                      <c:h val="9.31954662428636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37-4262-BEF0-03F540E5A2C5}"/>
                </c:ext>
              </c:extLst>
            </c:dLbl>
            <c:dLbl>
              <c:idx val="3"/>
              <c:layout>
                <c:manualLayout>
                  <c:x val="-4.8275859156131223E-2"/>
                  <c:y val="-2.4495907684644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7760836409881051"/>
                      <c:h val="8.42363822065696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37-4262-BEF0-03F540E5A2C5}"/>
                </c:ext>
              </c:extLst>
            </c:dLbl>
            <c:dLbl>
              <c:idx val="4"/>
              <c:layout>
                <c:manualLayout>
                  <c:x val="2.6819921753406237E-2"/>
                  <c:y val="2.4469414195618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37-4262-BEF0-03F540E5A2C5}"/>
                </c:ext>
              </c:extLst>
            </c:dLbl>
            <c:dLbl>
              <c:idx val="5"/>
              <c:layout>
                <c:manualLayout>
                  <c:x val="2.1963298520934111E-2"/>
                  <c:y val="0.102419367528434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0417351771360798"/>
                      <c:h val="7.776919093591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18B-4FBF-B946-2CCEFCAE373A}"/>
                </c:ext>
              </c:extLst>
            </c:dLbl>
            <c:dLbl>
              <c:idx val="7"/>
              <c:layout>
                <c:manualLayout>
                  <c:x val="-0.12605363224100935"/>
                  <c:y val="0.11650832466702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E0-49C6-B530-1E1ECB1D7264}"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графики!$F$36:$F$41</c:f>
              <c:strCache>
                <c:ptCount val="6"/>
                <c:pt idx="0">
                  <c:v>Регистрация ИП</c:v>
                </c:pt>
                <c:pt idx="1">
                  <c:v>Паушальный взнос</c:v>
                </c:pt>
                <c:pt idx="2">
                  <c:v>Подготовка помещения</c:v>
                </c:pt>
                <c:pt idx="3">
                  <c:v>Оснащение  помещений</c:v>
                </c:pt>
                <c:pt idx="4">
                  <c:v>Организационные расходы</c:v>
                </c:pt>
                <c:pt idx="5">
                  <c:v>Прочие расходы</c:v>
                </c:pt>
              </c:strCache>
            </c:strRef>
          </c:cat>
          <c:val>
            <c:numRef>
              <c:f>графики!$G$36:$G$41</c:f>
              <c:numCache>
                <c:formatCode>_-* #,##0\ "₽"_-;\-* #,##0\ "₽"_-;_-* "-"??\ "₽"_-;_-@_-</c:formatCode>
                <c:ptCount val="6"/>
                <c:pt idx="0">
                  <c:v>17400</c:v>
                </c:pt>
                <c:pt idx="1">
                  <c:v>500000</c:v>
                </c:pt>
                <c:pt idx="2">
                  <c:v>5000</c:v>
                </c:pt>
                <c:pt idx="3">
                  <c:v>30000</c:v>
                </c:pt>
                <c:pt idx="4">
                  <c:v>21000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7-4262-BEF0-03F540E5A2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sz="1440" b="1"/>
              <a:t>График денежного потока проекта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Безубыточность!$A$9</c:f>
              <c:strCache>
                <c:ptCount val="1"/>
                <c:pt idx="0">
                  <c:v>Денежный поток</c:v>
                </c:pt>
              </c:strCache>
            </c:strRef>
          </c:tx>
          <c:spPr>
            <a:ln w="34925" cap="rnd">
              <a:solidFill>
                <a:srgbClr val="013F5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5.1954444466991379E-2"/>
                  <c:y val="-5.509628065743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88-46D3-8B02-7E5BFB81563F}"/>
                </c:ext>
              </c:extLst>
            </c:dLbl>
            <c:dLbl>
              <c:idx val="3"/>
              <c:layout>
                <c:manualLayout>
                  <c:x val="-4.4443024596938503E-2"/>
                  <c:y val="5.0343069998333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0C-41C1-AFE8-0AE7C741351A}"/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Безубыточность!$B$8:$I$8</c:f>
              <c:strCache>
                <c:ptCount val="8"/>
                <c:pt idx="0">
                  <c:v>1 кв.</c:v>
                </c:pt>
                <c:pt idx="1">
                  <c:v>2 кв.</c:v>
                </c:pt>
                <c:pt idx="2">
                  <c:v>3 кв.</c:v>
                </c:pt>
                <c:pt idx="3">
                  <c:v>4 кв.</c:v>
                </c:pt>
                <c:pt idx="4">
                  <c:v>5 кв.</c:v>
                </c:pt>
                <c:pt idx="5">
                  <c:v>6 кв.</c:v>
                </c:pt>
                <c:pt idx="6">
                  <c:v>7 кв.</c:v>
                </c:pt>
                <c:pt idx="7">
                  <c:v>8 кв.</c:v>
                </c:pt>
              </c:strCache>
            </c:strRef>
          </c:cat>
          <c:val>
            <c:numRef>
              <c:f>Безубыточность!$B$9:$I$9</c:f>
              <c:numCache>
                <c:formatCode>_-* #,##0\ "₽"_-;\-* #,##0\ "₽"_-;_-* "-"??\ "₽"_-;_-@_-</c:formatCode>
                <c:ptCount val="8"/>
                <c:pt idx="0">
                  <c:v>-581625.12308333337</c:v>
                </c:pt>
                <c:pt idx="1">
                  <c:v>-105452.69563333344</c:v>
                </c:pt>
                <c:pt idx="2">
                  <c:v>861546.14906554157</c:v>
                </c:pt>
                <c:pt idx="3">
                  <c:v>2071794.4101068801</c:v>
                </c:pt>
                <c:pt idx="4">
                  <c:v>3071166.0055972235</c:v>
                </c:pt>
                <c:pt idx="5">
                  <c:v>4774513.2398976218</c:v>
                </c:pt>
                <c:pt idx="6">
                  <c:v>7893302.9696894623</c:v>
                </c:pt>
                <c:pt idx="7">
                  <c:v>12311075.526639935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88-46D3-8B02-7E5BFB815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94304"/>
        <c:axId val="100945856"/>
      </c:lineChart>
      <c:catAx>
        <c:axId val="761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945856"/>
        <c:crosses val="autoZero"/>
        <c:auto val="1"/>
        <c:lblAlgn val="ctr"/>
        <c:lblOffset val="100"/>
        <c:noMultiLvlLbl val="0"/>
      </c:catAx>
      <c:valAx>
        <c:axId val="100945856"/>
        <c:scaling>
          <c:orientation val="minMax"/>
        </c:scaling>
        <c:delete val="0"/>
        <c:axPos val="l"/>
        <c:numFmt formatCode="#,##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61943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ru-RU" b="1"/>
              <a:t>График точки безубыточности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06147257908551"/>
          <c:y val="0.13833809554969065"/>
          <c:w val="0.6332630197541097"/>
          <c:h val="0.75898415745123271"/>
        </c:manualLayout>
      </c:layout>
      <c:lineChart>
        <c:grouping val="standard"/>
        <c:varyColors val="0"/>
        <c:ser>
          <c:idx val="1"/>
          <c:order val="0"/>
          <c:tx>
            <c:strRef>
              <c:f>Безубыточность!$A$15</c:f>
              <c:strCache>
                <c:ptCount val="1"/>
                <c:pt idx="0">
                  <c:v>Постоянные расходы</c:v>
                </c:pt>
              </c:strCache>
            </c:strRef>
          </c:tx>
          <c:spPr>
            <a:ln w="28575" cap="rnd">
              <a:solidFill>
                <a:srgbClr val="210E0A"/>
              </a:solidFill>
              <a:round/>
            </a:ln>
            <a:effectLst/>
          </c:spPr>
          <c:marker>
            <c:symbol val="none"/>
          </c:marker>
          <c:cat>
            <c:numRef>
              <c:f>Безубыточность!$B$14:$L$14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Безубыточность!$B$15:$L$15</c:f>
              <c:numCache>
                <c:formatCode>_-* #,##0\ "₽"_-;\-* #,##0\ "₽"_-;_-* "-"??\ "₽"_-;_-@_-</c:formatCode>
                <c:ptCount val="11"/>
                <c:pt idx="0">
                  <c:v>30618.819444444449</c:v>
                </c:pt>
                <c:pt idx="1">
                  <c:v>30618.819444444449</c:v>
                </c:pt>
                <c:pt idx="2">
                  <c:v>30618.819444444449</c:v>
                </c:pt>
                <c:pt idx="3">
                  <c:v>30618.819444444449</c:v>
                </c:pt>
                <c:pt idx="4">
                  <c:v>30618.819444444449</c:v>
                </c:pt>
                <c:pt idx="5">
                  <c:v>30618.819444444449</c:v>
                </c:pt>
                <c:pt idx="6">
                  <c:v>30618.819444444449</c:v>
                </c:pt>
                <c:pt idx="7">
                  <c:v>30618.819444444449</c:v>
                </c:pt>
                <c:pt idx="8">
                  <c:v>30618.819444444449</c:v>
                </c:pt>
                <c:pt idx="9">
                  <c:v>30618.819444444449</c:v>
                </c:pt>
                <c:pt idx="10">
                  <c:v>30618.819444444449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EF-45CE-94B8-133784A57A9C}"/>
            </c:ext>
          </c:extLst>
        </c:ser>
        <c:ser>
          <c:idx val="2"/>
          <c:order val="1"/>
          <c:tx>
            <c:strRef>
              <c:f>Безубыточность!$A$16</c:f>
              <c:strCache>
                <c:ptCount val="1"/>
                <c:pt idx="0">
                  <c:v>Переменные расходы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Безубыточность!$B$14:$L$14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Безубыточность!$B$16:$L$16</c:f>
              <c:numCache>
                <c:formatCode>_-* #,##0\ "₽"_-;\-* #,##0\ "₽"_-;_-* "-"??\ "₽"_-;_-@_-</c:formatCode>
                <c:ptCount val="11"/>
                <c:pt idx="0">
                  <c:v>71065.164296223549</c:v>
                </c:pt>
                <c:pt idx="1">
                  <c:v>72609.790119401267</c:v>
                </c:pt>
                <c:pt idx="2">
                  <c:v>74154.415942578984</c:v>
                </c:pt>
                <c:pt idx="3">
                  <c:v>75699.041765756701</c:v>
                </c:pt>
                <c:pt idx="4">
                  <c:v>77243.667588934419</c:v>
                </c:pt>
                <c:pt idx="5">
                  <c:v>78788.293412112136</c:v>
                </c:pt>
                <c:pt idx="6">
                  <c:v>80332.919235289854</c:v>
                </c:pt>
                <c:pt idx="7">
                  <c:v>81877.545058467571</c:v>
                </c:pt>
                <c:pt idx="8">
                  <c:v>83422.170881645288</c:v>
                </c:pt>
                <c:pt idx="9">
                  <c:v>84966.796704823006</c:v>
                </c:pt>
                <c:pt idx="10">
                  <c:v>86511.422528000723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EF-45CE-94B8-133784A57A9C}"/>
            </c:ext>
          </c:extLst>
        </c:ser>
        <c:ser>
          <c:idx val="3"/>
          <c:order val="2"/>
          <c:tx>
            <c:strRef>
              <c:f>Безубыточность!$A$17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28575" cap="rnd">
              <a:solidFill>
                <a:srgbClr val="013F53"/>
              </a:solidFill>
              <a:round/>
            </a:ln>
            <a:effectLst/>
          </c:spPr>
          <c:marker>
            <c:symbol val="none"/>
          </c:marker>
          <c:cat>
            <c:numRef>
              <c:f>Безубыточность!$B$14:$L$14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Безубыточность!$B$17:$L$17</c:f>
              <c:numCache>
                <c:formatCode>_-* #,##0\ "₽"_-;\-* #,##0\ "₽"_-;_-* "-"??\ "₽"_-;_-@_-</c:formatCode>
                <c:ptCount val="11"/>
                <c:pt idx="0">
                  <c:v>0</c:v>
                </c:pt>
                <c:pt idx="1">
                  <c:v>79211.580675780409</c:v>
                </c:pt>
                <c:pt idx="2">
                  <c:v>158423.16135156082</c:v>
                </c:pt>
                <c:pt idx="3">
                  <c:v>237634.74202734124</c:v>
                </c:pt>
                <c:pt idx="4">
                  <c:v>316846.32270312164</c:v>
                </c:pt>
                <c:pt idx="5">
                  <c:v>396057.903378902</c:v>
                </c:pt>
                <c:pt idx="6">
                  <c:v>475269.48405468237</c:v>
                </c:pt>
                <c:pt idx="7">
                  <c:v>554481.06473046273</c:v>
                </c:pt>
                <c:pt idx="8">
                  <c:v>633692.64540624316</c:v>
                </c:pt>
                <c:pt idx="9">
                  <c:v>712904.22608202358</c:v>
                </c:pt>
                <c:pt idx="10">
                  <c:v>792115.80675780389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EF-45CE-94B8-133784A57A9C}"/>
            </c:ext>
          </c:extLst>
        </c:ser>
        <c:ser>
          <c:idx val="4"/>
          <c:order val="3"/>
          <c:tx>
            <c:strRef>
              <c:f>Безубыточность!$A$18</c:f>
              <c:strCache>
                <c:ptCount val="1"/>
                <c:pt idx="0">
                  <c:v>Общие расходы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Безубыточность!$B$14:$L$14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cat>
          <c:val>
            <c:numRef>
              <c:f>Безубыточность!$B$18:$L$18</c:f>
              <c:numCache>
                <c:formatCode>_-* #,##0\ "₽"_-;\-* #,##0\ "₽"_-;_-* "-"??\ "₽"_-;_-@_-</c:formatCode>
                <c:ptCount val="11"/>
                <c:pt idx="0">
                  <c:v>101683.983740668</c:v>
                </c:pt>
                <c:pt idx="1">
                  <c:v>103228.60956384572</c:v>
                </c:pt>
                <c:pt idx="2">
                  <c:v>104773.23538702344</c:v>
                </c:pt>
                <c:pt idx="3">
                  <c:v>106317.86121020115</c:v>
                </c:pt>
                <c:pt idx="4">
                  <c:v>107862.48703337887</c:v>
                </c:pt>
                <c:pt idx="5">
                  <c:v>109407.11285655659</c:v>
                </c:pt>
                <c:pt idx="6">
                  <c:v>110951.73867973431</c:v>
                </c:pt>
                <c:pt idx="7">
                  <c:v>112496.36450291202</c:v>
                </c:pt>
                <c:pt idx="8">
                  <c:v>114040.99032608974</c:v>
                </c:pt>
                <c:pt idx="9">
                  <c:v>115585.61614926746</c:v>
                </c:pt>
                <c:pt idx="10">
                  <c:v>117130.24197244518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EF-45CE-94B8-133784A57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76768"/>
        <c:axId val="100947584"/>
        <c:extLst xmlns:c16r2="http://schemas.microsoft.com/office/drawing/2015/06/chart"/>
      </c:lineChart>
      <c:catAx>
        <c:axId val="119776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/>
                  <a:t>Объем продаж (% от плана)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947584"/>
        <c:crosses val="autoZero"/>
        <c:auto val="1"/>
        <c:lblAlgn val="ctr"/>
        <c:lblOffset val="100"/>
        <c:noMultiLvlLbl val="0"/>
      </c:catAx>
      <c:valAx>
        <c:axId val="100947584"/>
        <c:scaling>
          <c:orientation val="minMax"/>
          <c:min val="-50000"/>
        </c:scaling>
        <c:delete val="0"/>
        <c:axPos val="l"/>
        <c:numFmt formatCode="_(&quot;₽&quot;* #,##0_);_(&quot;₽&quot;* \(#,##0\);_(&quot;₽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977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55252942749684"/>
          <c:y val="0.27667010300972511"/>
          <c:w val="0.24092112170189253"/>
          <c:h val="0.514354000782547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3954840678696969"/>
          <c:y val="8.1008819567468499E-2"/>
          <c:w val="0.43447612713980099"/>
          <c:h val="0.8468948089288431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графики!$C$3</c:f>
              <c:strCache>
                <c:ptCount val="1"/>
                <c:pt idx="0">
                  <c:v>Дней до задачи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Lato Light" panose="020F0502020204030203" pitchFamily="34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графики!$B$4:$B$11</c:f>
              <c:strCache>
                <c:ptCount val="8"/>
                <c:pt idx="0">
                  <c:v>Официальное открытие</c:v>
                </c:pt>
                <c:pt idx="1">
                  <c:v>Старт маркетинговой кампании</c:v>
                </c:pt>
                <c:pt idx="2">
                  <c:v>Настройка программного комплекса и мобильных приложений</c:v>
                </c:pt>
                <c:pt idx="3">
                  <c:v>Покупка оборудования</c:v>
                </c:pt>
                <c:pt idx="4">
                  <c:v>Поиск сотрудников</c:v>
                </c:pt>
                <c:pt idx="5">
                  <c:v>Поиск помещения</c:v>
                </c:pt>
                <c:pt idx="6">
                  <c:v>Регистрация юр. лица</c:v>
                </c:pt>
                <c:pt idx="7">
                  <c:v>Заключение договора франчайзинга</c:v>
                </c:pt>
              </c:strCache>
            </c:strRef>
          </c:cat>
          <c:val>
            <c:numRef>
              <c:f>графики!$C$4:$C$11</c:f>
              <c:numCache>
                <c:formatCode>General</c:formatCode>
                <c:ptCount val="8"/>
                <c:pt idx="0">
                  <c:v>30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7-49E3-ADF7-6B6CFD736766}"/>
            </c:ext>
          </c:extLst>
        </c:ser>
        <c:ser>
          <c:idx val="1"/>
          <c:order val="1"/>
          <c:tx>
            <c:strRef>
              <c:f>графики!$D$3</c:f>
              <c:strCache>
                <c:ptCount val="1"/>
                <c:pt idx="0">
                  <c:v>Дней на задачу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Lato Light" panose="020F0502020204030203" pitchFamily="34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графики!$B$4:$B$11</c:f>
              <c:strCache>
                <c:ptCount val="8"/>
                <c:pt idx="0">
                  <c:v>Официальное открытие</c:v>
                </c:pt>
                <c:pt idx="1">
                  <c:v>Старт маркетинговой кампании</c:v>
                </c:pt>
                <c:pt idx="2">
                  <c:v>Настройка программного комплекса и мобильных приложений</c:v>
                </c:pt>
                <c:pt idx="3">
                  <c:v>Покупка оборудования</c:v>
                </c:pt>
                <c:pt idx="4">
                  <c:v>Поиск сотрудников</c:v>
                </c:pt>
                <c:pt idx="5">
                  <c:v>Поиск помещения</c:v>
                </c:pt>
                <c:pt idx="6">
                  <c:v>Регистрация юр. лица</c:v>
                </c:pt>
                <c:pt idx="7">
                  <c:v>Заключение договора франчайзинга</c:v>
                </c:pt>
              </c:strCache>
            </c:strRef>
          </c:cat>
          <c:val>
            <c:numRef>
              <c:f>графики!$D$4:$D$11</c:f>
              <c:numCache>
                <c:formatCode>General</c:formatCode>
                <c:ptCount val="8"/>
                <c:pt idx="0">
                  <c:v>1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25</c:v>
                </c:pt>
                <c:pt idx="5">
                  <c:v>10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C7-49E3-ADF7-6B6CFD7367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843328"/>
        <c:axId val="100983936"/>
      </c:barChart>
      <c:catAx>
        <c:axId val="119843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Lato Light" panose="020F0502020204030203" pitchFamily="34" charset="0"/>
                <a:cs typeface="Times New Roman" panose="02020603050405020304" pitchFamily="18" charset="0"/>
              </a:defRPr>
            </a:pPr>
            <a:endParaRPr lang="ru-RU"/>
          </a:p>
        </c:txPr>
        <c:crossAx val="100983936"/>
        <c:crosses val="autoZero"/>
        <c:auto val="1"/>
        <c:lblAlgn val="ctr"/>
        <c:lblOffset val="100"/>
        <c:noMultiLvlLbl val="0"/>
      </c:catAx>
      <c:valAx>
        <c:axId val="1009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Lato Light" panose="020F0502020204030203" pitchFamily="34" charset="0"/>
                <a:cs typeface="Times New Roman" panose="02020603050405020304" pitchFamily="18" charset="0"/>
              </a:defRPr>
            </a:pPr>
            <a:endParaRPr lang="ru-RU"/>
          </a:p>
        </c:txPr>
        <c:crossAx val="11984332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Lato Light" panose="020F0502020204030203" pitchFamily="34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ea typeface="Lato Light" panose="020F0502020204030203" pitchFamily="34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79-404E-8FF9-60530781BC1F}"/>
              </c:ext>
            </c:extLst>
          </c:dPt>
          <c:dPt>
            <c:idx val="1"/>
            <c:bubble3D val="0"/>
            <c:spPr>
              <a:solidFill>
                <a:srgbClr val="F8BD7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E7E-4D5B-943E-15F29AF96C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79-404E-8FF9-60530781BC1F}"/>
              </c:ext>
            </c:extLst>
          </c:dPt>
          <c:dPt>
            <c:idx val="3"/>
            <c:bubble3D val="0"/>
            <c:spPr>
              <a:solidFill>
                <a:srgbClr val="210E0A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7E-4D5B-943E-15F29AF96C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79-404E-8FF9-60530781BC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780-4670-8868-911476A42C6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780-4670-8868-911476A42C6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000-4EAE-BA77-71836572792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графики!$F$36:$F$41</c:f>
              <c:strCache>
                <c:ptCount val="6"/>
                <c:pt idx="0">
                  <c:v>Регистрация ИП</c:v>
                </c:pt>
                <c:pt idx="1">
                  <c:v>Паушальный взнос</c:v>
                </c:pt>
                <c:pt idx="2">
                  <c:v>Подготовка помещения</c:v>
                </c:pt>
                <c:pt idx="3">
                  <c:v>Оснащение  помещений</c:v>
                </c:pt>
                <c:pt idx="4">
                  <c:v>Организационные расходы</c:v>
                </c:pt>
                <c:pt idx="5">
                  <c:v>Прочие расходы</c:v>
                </c:pt>
              </c:strCache>
            </c:strRef>
          </c:cat>
          <c:val>
            <c:numRef>
              <c:f>графики!$G$36:$G$41</c:f>
              <c:numCache>
                <c:formatCode>_-* #,##0\ "₽"_-;\-* #,##0\ "₽"_-;_-* "-"??\ "₽"_-;_-@_-</c:formatCode>
                <c:ptCount val="6"/>
                <c:pt idx="0">
                  <c:v>17400</c:v>
                </c:pt>
                <c:pt idx="1">
                  <c:v>500000</c:v>
                </c:pt>
                <c:pt idx="2">
                  <c:v>5000</c:v>
                </c:pt>
                <c:pt idx="3">
                  <c:v>30000</c:v>
                </c:pt>
                <c:pt idx="4">
                  <c:v>21000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7E-4D5B-943E-15F29AF96C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55;&#1088;&#1086;&#1076;&#1072;&#1078;&#1080;!A1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#&#1056;&#1077;&#1079;&#1091;&#1083;&#1100;&#1090;&#1072;&#1090;!A1"/><Relationship Id="rId2" Type="http://schemas.openxmlformats.org/officeDocument/2006/relationships/hyperlink" Target="#&#1069;&#1090;&#1072;&#1087;&#1099;!A1"/><Relationship Id="rId1" Type="http://schemas.openxmlformats.org/officeDocument/2006/relationships/image" Target="../media/image1.png"/><Relationship Id="rId6" Type="http://schemas.openxmlformats.org/officeDocument/2006/relationships/hyperlink" Target="#&#1048;&#1085;&#1074;&#1077;&#1089;&#1090;&#1080;&#1094;&#1080;&#1080;!A1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#&#1041;&#1044;&#1056;!A1"/><Relationship Id="rId4" Type="http://schemas.openxmlformats.org/officeDocument/2006/relationships/hyperlink" Target="#&#1055;&#1072;&#1088;&#1072;&#1084;&#1077;&#1090;&#1088;&#1099;!A1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#&#1057;&#1090;&#1072;&#1088;&#1090;!A1"/><Relationship Id="rId1" Type="http://schemas.openxmlformats.org/officeDocument/2006/relationships/image" Target="../media/image8.png"/><Relationship Id="rId4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5" Type="http://schemas.openxmlformats.org/officeDocument/2006/relationships/image" Target="../media/image9.png"/><Relationship Id="rId4" Type="http://schemas.openxmlformats.org/officeDocument/2006/relationships/hyperlink" Target="#&#1057;&#1090;&#1072;&#1088;&#109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90;&#1072;&#1088;&#1090;!A1"/><Relationship Id="rId2" Type="http://schemas.openxmlformats.org/officeDocument/2006/relationships/chart" Target="../charts/chart2.xml"/><Relationship Id="rId1" Type="http://schemas.openxmlformats.org/officeDocument/2006/relationships/image" Target="../media/image13.png"/><Relationship Id="rId5" Type="http://schemas.openxmlformats.org/officeDocument/2006/relationships/image" Target="../media/image14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9.png"/><Relationship Id="rId1" Type="http://schemas.openxmlformats.org/officeDocument/2006/relationships/hyperlink" Target="#&#1057;&#1090;&#1072;&#1088;&#1090;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#&#1057;&#1090;&#1072;&#1088;&#1090;!A1"/><Relationship Id="rId1" Type="http://schemas.openxmlformats.org/officeDocument/2006/relationships/image" Target="../media/image16.png"/><Relationship Id="rId4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90;&#1072;&#1088;&#1090;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8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466724</xdr:colOff>
      <xdr:row>4</xdr:row>
      <xdr:rowOff>175675</xdr:rowOff>
    </xdr:from>
    <xdr:to>
      <xdr:col>12</xdr:col>
      <xdr:colOff>441235</xdr:colOff>
      <xdr:row>13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4" y="937675"/>
          <a:ext cx="3632111" cy="162455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7</xdr:row>
      <xdr:rowOff>133350</xdr:rowOff>
    </xdr:from>
    <xdr:to>
      <xdr:col>6</xdr:col>
      <xdr:colOff>357691</xdr:colOff>
      <xdr:row>10</xdr:row>
      <xdr:rowOff>142875</xdr:rowOff>
    </xdr:to>
    <xdr:pic>
      <xdr:nvPicPr>
        <xdr:cNvPr id="3" name="Рисунок 2">
          <a:hlinkClick xmlns:r="http://schemas.openxmlformats.org/officeDocument/2006/relationships" r:id="rId2" tooltip=" "/>
          <a:extLst>
            <a:ext uri="{FF2B5EF4-FFF2-40B4-BE49-F238E27FC236}">
              <a16:creationId xmlns:a16="http://schemas.microsoft.com/office/drawing/2014/main" xmlns="" id="{CE5F7DD1-B879-4EEC-8FB0-FEA011235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" y="1466850"/>
          <a:ext cx="3424741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4</xdr:row>
      <xdr:rowOff>133351</xdr:rowOff>
    </xdr:from>
    <xdr:to>
      <xdr:col>6</xdr:col>
      <xdr:colOff>259105</xdr:colOff>
      <xdr:row>7</xdr:row>
      <xdr:rowOff>123825</xdr:rowOff>
    </xdr:to>
    <xdr:pic>
      <xdr:nvPicPr>
        <xdr:cNvPr id="5" name="Рисунок 4">
          <a:hlinkClick xmlns:r="http://schemas.openxmlformats.org/officeDocument/2006/relationships" r:id="rId4" tooltip=" "/>
          <a:extLst>
            <a:ext uri="{FF2B5EF4-FFF2-40B4-BE49-F238E27FC236}">
              <a16:creationId xmlns:a16="http://schemas.microsoft.com/office/drawing/2014/main" xmlns="" id="{57F07AFF-5FE0-46E8-ACB3-DA16681D0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0550" y="895351"/>
          <a:ext cx="3326155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10</xdr:row>
      <xdr:rowOff>142016</xdr:rowOff>
    </xdr:from>
    <xdr:to>
      <xdr:col>7</xdr:col>
      <xdr:colOff>47625</xdr:colOff>
      <xdr:row>13</xdr:row>
      <xdr:rowOff>159323</xdr:rowOff>
    </xdr:to>
    <xdr:pic>
      <xdr:nvPicPr>
        <xdr:cNvPr id="6" name="Рисунок 5">
          <a:hlinkClick xmlns:r="http://schemas.openxmlformats.org/officeDocument/2006/relationships" r:id="rId6" tooltip=" "/>
          <a:extLst>
            <a:ext uri="{FF2B5EF4-FFF2-40B4-BE49-F238E27FC236}">
              <a16:creationId xmlns:a16="http://schemas.microsoft.com/office/drawing/2014/main" xmlns="" id="{FE2DF025-0F0D-4D02-B7C6-B06C88483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0075" y="2047016"/>
          <a:ext cx="3714750" cy="588807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600076</xdr:colOff>
      <xdr:row>13</xdr:row>
      <xdr:rowOff>142875</xdr:rowOff>
    </xdr:from>
    <xdr:to>
      <xdr:col>5</xdr:col>
      <xdr:colOff>410545</xdr:colOff>
      <xdr:row>16</xdr:row>
      <xdr:rowOff>159321</xdr:rowOff>
    </xdr:to>
    <xdr:pic>
      <xdr:nvPicPr>
        <xdr:cNvPr id="7" name="Рисунок 6">
          <a:hlinkClick xmlns:r="http://schemas.openxmlformats.org/officeDocument/2006/relationships" r:id="rId8" tooltip=" "/>
          <a:extLst>
            <a:ext uri="{FF2B5EF4-FFF2-40B4-BE49-F238E27FC236}">
              <a16:creationId xmlns:a16="http://schemas.microsoft.com/office/drawing/2014/main" xmlns="" id="{CAE6883F-1584-4F1F-BA91-C4A82DDD2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0076" y="2619375"/>
          <a:ext cx="2858469" cy="587946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16</xdr:row>
      <xdr:rowOff>131656</xdr:rowOff>
    </xdr:from>
    <xdr:to>
      <xdr:col>5</xdr:col>
      <xdr:colOff>285750</xdr:colOff>
      <xdr:row>19</xdr:row>
      <xdr:rowOff>165418</xdr:rowOff>
    </xdr:to>
    <xdr:pic>
      <xdr:nvPicPr>
        <xdr:cNvPr id="8" name="Рисунок 7">
          <a:hlinkClick xmlns:r="http://schemas.openxmlformats.org/officeDocument/2006/relationships" r:id="rId10" tooltip=" "/>
          <a:extLst>
            <a:ext uri="{FF2B5EF4-FFF2-40B4-BE49-F238E27FC236}">
              <a16:creationId xmlns:a16="http://schemas.microsoft.com/office/drawing/2014/main" xmlns="" id="{3AF6046B-AF44-4F94-9398-FE1D78940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0551" y="3179656"/>
          <a:ext cx="2743199" cy="605262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19</xdr:row>
      <xdr:rowOff>133351</xdr:rowOff>
    </xdr:from>
    <xdr:to>
      <xdr:col>5</xdr:col>
      <xdr:colOff>590550</xdr:colOff>
      <xdr:row>22</xdr:row>
      <xdr:rowOff>151411</xdr:rowOff>
    </xdr:to>
    <xdr:pic>
      <xdr:nvPicPr>
        <xdr:cNvPr id="9" name="Рисунок 8">
          <a:hlinkClick xmlns:r="http://schemas.openxmlformats.org/officeDocument/2006/relationships" r:id="rId12" tooltip=" "/>
          <a:extLst>
            <a:ext uri="{FF2B5EF4-FFF2-40B4-BE49-F238E27FC236}">
              <a16:creationId xmlns:a16="http://schemas.microsoft.com/office/drawing/2014/main" xmlns="" id="{4378671A-6FBC-481E-A7FF-452DE05D1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90551" y="3752851"/>
          <a:ext cx="3047999" cy="589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279402</xdr:colOff>
      <xdr:row>2</xdr:row>
      <xdr:rowOff>177800</xdr:rowOff>
    </xdr:from>
    <xdr:to>
      <xdr:col>2</xdr:col>
      <xdr:colOff>279402</xdr:colOff>
      <xdr:row>4</xdr:row>
      <xdr:rowOff>48048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3341693D-81C2-45D9-BB07-4157A7617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027" y="615950"/>
          <a:ext cx="0" cy="517948"/>
        </a:xfrm>
        <a:prstGeom prst="rect">
          <a:avLst/>
        </a:prstGeom>
      </xdr:spPr>
    </xdr:pic>
    <xdr:clientData/>
  </xdr:twoCellAnchor>
  <xdr:twoCellAnchor editAs="oneCell">
    <xdr:from>
      <xdr:col>6</xdr:col>
      <xdr:colOff>582386</xdr:colOff>
      <xdr:row>8</xdr:row>
      <xdr:rowOff>146957</xdr:rowOff>
    </xdr:from>
    <xdr:to>
      <xdr:col>8</xdr:col>
      <xdr:colOff>809625</xdr:colOff>
      <xdr:row>11</xdr:row>
      <xdr:rowOff>114073</xdr:rowOff>
    </xdr:to>
    <xdr:pic>
      <xdr:nvPicPr>
        <xdr:cNvPr id="3" name="Рисунок 2">
          <a:hlinkClick xmlns:r="http://schemas.openxmlformats.org/officeDocument/2006/relationships" r:id="rId2" tooltip=" "/>
          <a:extLst>
            <a:ext uri="{FF2B5EF4-FFF2-40B4-BE49-F238E27FC236}">
              <a16:creationId xmlns:a16="http://schemas.microsoft.com/office/drawing/2014/main" xmlns="" id="{C66CBAA5-44B2-471A-942A-17E8A5EC2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83136" y="1394732"/>
          <a:ext cx="2008414" cy="424316"/>
        </a:xfrm>
        <a:prstGeom prst="rect">
          <a:avLst/>
        </a:prstGeom>
      </xdr:spPr>
    </xdr:pic>
    <xdr:clientData/>
  </xdr:twoCellAnchor>
  <xdr:twoCellAnchor editAs="oneCell">
    <xdr:from>
      <xdr:col>2</xdr:col>
      <xdr:colOff>1306286</xdr:colOff>
      <xdr:row>2</xdr:row>
      <xdr:rowOff>186416</xdr:rowOff>
    </xdr:from>
    <xdr:to>
      <xdr:col>8</xdr:col>
      <xdr:colOff>285750</xdr:colOff>
      <xdr:row>7</xdr:row>
      <xdr:rowOff>40780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543562B2-3C42-4BD0-B5D0-C06EB6733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35036" y="576941"/>
          <a:ext cx="5332639" cy="6639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292100</xdr:colOff>
      <xdr:row>3</xdr:row>
      <xdr:rowOff>76200</xdr:rowOff>
    </xdr:from>
    <xdr:to>
      <xdr:col>2</xdr:col>
      <xdr:colOff>292100</xdr:colOff>
      <xdr:row>4</xdr:row>
      <xdr:rowOff>189593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1A594E58-BF87-41FF-AFAB-04201914A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200" y="1019175"/>
          <a:ext cx="0" cy="561068"/>
        </a:xfrm>
        <a:prstGeom prst="rect">
          <a:avLst/>
        </a:prstGeom>
      </xdr:spPr>
    </xdr:pic>
    <xdr:clientData/>
  </xdr:twoCellAnchor>
  <xdr:twoCellAnchor editAs="oneCell">
    <xdr:from>
      <xdr:col>1</xdr:col>
      <xdr:colOff>462644</xdr:colOff>
      <xdr:row>2</xdr:row>
      <xdr:rowOff>163285</xdr:rowOff>
    </xdr:from>
    <xdr:to>
      <xdr:col>10</xdr:col>
      <xdr:colOff>6098</xdr:colOff>
      <xdr:row>4</xdr:row>
      <xdr:rowOff>148499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xmlns="" id="{7E7902FF-3B38-4FAA-9414-5C8131BF8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894" y="734785"/>
          <a:ext cx="8858904" cy="728164"/>
        </a:xfrm>
        <a:prstGeom prst="rect">
          <a:avLst/>
        </a:prstGeom>
      </xdr:spPr>
    </xdr:pic>
    <xdr:clientData/>
  </xdr:twoCellAnchor>
  <xdr:twoCellAnchor>
    <xdr:from>
      <xdr:col>1</xdr:col>
      <xdr:colOff>400050</xdr:colOff>
      <xdr:row>10</xdr:row>
      <xdr:rowOff>85725</xdr:rowOff>
    </xdr:from>
    <xdr:to>
      <xdr:col>10</xdr:col>
      <xdr:colOff>9525</xdr:colOff>
      <xdr:row>33</xdr:row>
      <xdr:rowOff>38101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xmlns="" id="{0390DD7E-8E6F-440D-95EC-3B8BE74BD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257175</xdr:colOff>
      <xdr:row>34</xdr:row>
      <xdr:rowOff>180975</xdr:rowOff>
    </xdr:from>
    <xdr:to>
      <xdr:col>5</xdr:col>
      <xdr:colOff>590550</xdr:colOff>
      <xdr:row>37</xdr:row>
      <xdr:rowOff>30944</xdr:rowOff>
    </xdr:to>
    <xdr:pic>
      <xdr:nvPicPr>
        <xdr:cNvPr id="20" name="Рисунок 19">
          <a:hlinkClick xmlns:r="http://schemas.openxmlformats.org/officeDocument/2006/relationships" r:id="rId4" tooltip=" "/>
          <a:extLst>
            <a:ext uri="{FF2B5EF4-FFF2-40B4-BE49-F238E27FC236}">
              <a16:creationId xmlns:a16="http://schemas.microsoft.com/office/drawing/2014/main" xmlns="" id="{1B231B0B-5813-4FC0-85F2-9CC1C525E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6775" y="6762750"/>
          <a:ext cx="2771775" cy="421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2</xdr:row>
      <xdr:rowOff>50800</xdr:rowOff>
    </xdr:from>
    <xdr:to>
      <xdr:col>2</xdr:col>
      <xdr:colOff>1219200</xdr:colOff>
      <xdr:row>3</xdr:row>
      <xdr:rowOff>95672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B3FEA51F-6184-4EE0-875A-2D25A4698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622300"/>
          <a:ext cx="0" cy="521122"/>
        </a:xfrm>
        <a:prstGeom prst="rect">
          <a:avLst/>
        </a:prstGeom>
      </xdr:spPr>
    </xdr:pic>
    <xdr:clientData/>
  </xdr:twoCellAnchor>
  <xdr:twoCellAnchor>
    <xdr:from>
      <xdr:col>6</xdr:col>
      <xdr:colOff>224518</xdr:colOff>
      <xdr:row>10</xdr:row>
      <xdr:rowOff>37949</xdr:rowOff>
    </xdr:from>
    <xdr:to>
      <xdr:col>8</xdr:col>
      <xdr:colOff>537482</xdr:colOff>
      <xdr:row>26</xdr:row>
      <xdr:rowOff>76200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71561F4A-59B0-43A7-8322-05C800E1E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870857</xdr:colOff>
      <xdr:row>25</xdr:row>
      <xdr:rowOff>0</xdr:rowOff>
    </xdr:from>
    <xdr:to>
      <xdr:col>6</xdr:col>
      <xdr:colOff>870857</xdr:colOff>
      <xdr:row>26</xdr:row>
      <xdr:rowOff>148998</xdr:rowOff>
    </xdr:to>
    <xdr:pic>
      <xdr:nvPicPr>
        <xdr:cNvPr id="8" name="Рисунок 7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xmlns="" id="{2196ECF7-3EC0-4704-990A-E2E030EFF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48082" y="13081906"/>
          <a:ext cx="3413402" cy="504598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317500</xdr:colOff>
      <xdr:row>1</xdr:row>
      <xdr:rowOff>158751</xdr:rowOff>
    </xdr:from>
    <xdr:to>
      <xdr:col>7</xdr:col>
      <xdr:colOff>2444751</xdr:colOff>
      <xdr:row>6</xdr:row>
      <xdr:rowOff>89568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F1D8848-8843-4898-850B-9F5275CAA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13417" y="444501"/>
          <a:ext cx="8307917" cy="788067"/>
        </a:xfrm>
        <a:prstGeom prst="rect">
          <a:avLst/>
        </a:prstGeom>
      </xdr:spPr>
    </xdr:pic>
    <xdr:clientData/>
  </xdr:twoCellAnchor>
  <xdr:twoCellAnchor editAs="oneCell">
    <xdr:from>
      <xdr:col>6</xdr:col>
      <xdr:colOff>971550</xdr:colOff>
      <xdr:row>27</xdr:row>
      <xdr:rowOff>133350</xdr:rowOff>
    </xdr:from>
    <xdr:to>
      <xdr:col>7</xdr:col>
      <xdr:colOff>3026959</xdr:colOff>
      <xdr:row>28</xdr:row>
      <xdr:rowOff>337230</xdr:rowOff>
    </xdr:to>
    <xdr:pic>
      <xdr:nvPicPr>
        <xdr:cNvPr id="10" name="Рисунок 9">
          <a:hlinkClick xmlns:r="http://schemas.openxmlformats.org/officeDocument/2006/relationships" r:id="rId3" tooltip=" "/>
          <a:extLst>
            <a:ext uri="{FF2B5EF4-FFF2-40B4-BE49-F238E27FC236}">
              <a16:creationId xmlns:a16="http://schemas.microsoft.com/office/drawing/2014/main" xmlns="" id="{2196ECF7-3EC0-4704-990A-E2E030EFF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81825" y="5400675"/>
          <a:ext cx="3407959" cy="5182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6</xdr:row>
      <xdr:rowOff>190499</xdr:rowOff>
    </xdr:from>
    <xdr:to>
      <xdr:col>5</xdr:col>
      <xdr:colOff>476250</xdr:colOff>
      <xdr:row>6</xdr:row>
      <xdr:rowOff>194354</xdr:rowOff>
    </xdr:to>
    <xdr:pic>
      <xdr:nvPicPr>
        <xdr:cNvPr id="4" name="Рисунок 3">
          <a:hlinkClick xmlns:r="http://schemas.openxmlformats.org/officeDocument/2006/relationships" r:id="rId1" tooltip=" "/>
          <a:extLst>
            <a:ext uri="{FF2B5EF4-FFF2-40B4-BE49-F238E27FC236}">
              <a16:creationId xmlns:a16="http://schemas.microsoft.com/office/drawing/2014/main" xmlns="" id="{37837EF6-FB1C-437A-AF3E-AE56A904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2047874"/>
          <a:ext cx="3407959" cy="518205"/>
        </a:xfrm>
        <a:prstGeom prst="rect">
          <a:avLst/>
        </a:prstGeom>
      </xdr:spPr>
    </xdr:pic>
    <xdr:clientData/>
  </xdr:twoCellAnchor>
  <xdr:twoCellAnchor editAs="oneCell">
    <xdr:from>
      <xdr:col>1</xdr:col>
      <xdr:colOff>585107</xdr:colOff>
      <xdr:row>2</xdr:row>
      <xdr:rowOff>190500</xdr:rowOff>
    </xdr:from>
    <xdr:to>
      <xdr:col>1</xdr:col>
      <xdr:colOff>585107</xdr:colOff>
      <xdr:row>4</xdr:row>
      <xdr:rowOff>53250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C297457F-937D-435B-816A-EBB72B4B8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1357" y="762000"/>
          <a:ext cx="6261953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4</xdr:col>
      <xdr:colOff>982382</xdr:colOff>
      <xdr:row>4</xdr:row>
      <xdr:rowOff>148500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297457F-937D-435B-816A-EBB72B4B8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7429" y="571500"/>
          <a:ext cx="6275560" cy="720000"/>
        </a:xfrm>
        <a:prstGeom prst="rect">
          <a:avLst/>
        </a:prstGeom>
      </xdr:spPr>
    </xdr:pic>
    <xdr:clientData/>
  </xdr:twoCellAnchor>
  <xdr:twoCellAnchor editAs="oneCell">
    <xdr:from>
      <xdr:col>21</xdr:col>
      <xdr:colOff>54429</xdr:colOff>
      <xdr:row>3</xdr:row>
      <xdr:rowOff>149679</xdr:rowOff>
    </xdr:from>
    <xdr:to>
      <xdr:col>26</xdr:col>
      <xdr:colOff>204108</xdr:colOff>
      <xdr:row>6</xdr:row>
      <xdr:rowOff>381000</xdr:rowOff>
    </xdr:to>
    <xdr:pic>
      <xdr:nvPicPr>
        <xdr:cNvPr id="7" name="Рисунок 6">
          <a:hlinkClick xmlns:r="http://schemas.openxmlformats.org/officeDocument/2006/relationships" r:id="rId1" tooltip=" "/>
          <a:extLst>
            <a:ext uri="{FF2B5EF4-FFF2-40B4-BE49-F238E27FC236}">
              <a16:creationId xmlns:a16="http://schemas.microsoft.com/office/drawing/2014/main" xmlns="" id="{1B231B0B-5813-4FC0-85F2-9CC1C525E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56786" y="1006929"/>
          <a:ext cx="5388429" cy="7892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1282700</xdr:colOff>
      <xdr:row>2</xdr:row>
      <xdr:rowOff>50800</xdr:rowOff>
    </xdr:from>
    <xdr:to>
      <xdr:col>2</xdr:col>
      <xdr:colOff>1282700</xdr:colOff>
      <xdr:row>4</xdr:row>
      <xdr:rowOff>108825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EB5E113-DF3A-4EE6-B443-8593EE7A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3325" y="622300"/>
          <a:ext cx="0" cy="515225"/>
        </a:xfrm>
        <a:prstGeom prst="rect">
          <a:avLst/>
        </a:prstGeom>
      </xdr:spPr>
    </xdr:pic>
    <xdr:clientData/>
  </xdr:twoCellAnchor>
  <xdr:twoCellAnchor editAs="oneCell">
    <xdr:from>
      <xdr:col>21</xdr:col>
      <xdr:colOff>772886</xdr:colOff>
      <xdr:row>2</xdr:row>
      <xdr:rowOff>104775</xdr:rowOff>
    </xdr:from>
    <xdr:to>
      <xdr:col>27</xdr:col>
      <xdr:colOff>282575</xdr:colOff>
      <xdr:row>5</xdr:row>
      <xdr:rowOff>120736</xdr:rowOff>
    </xdr:to>
    <xdr:pic>
      <xdr:nvPicPr>
        <xdr:cNvPr id="3" name="Рисунок 2">
          <a:hlinkClick xmlns:r="http://schemas.openxmlformats.org/officeDocument/2006/relationships" r:id="rId2" tooltip=" "/>
          <a:extLst>
            <a:ext uri="{FF2B5EF4-FFF2-40B4-BE49-F238E27FC236}">
              <a16:creationId xmlns="" xmlns:a16="http://schemas.microsoft.com/office/drawing/2014/main" id="{E0D56D06-3E82-4851-AA37-714D9EE15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56086" y="428625"/>
          <a:ext cx="4018189" cy="587461"/>
        </a:xfrm>
        <a:prstGeom prst="rect">
          <a:avLst/>
        </a:prstGeom>
      </xdr:spPr>
    </xdr:pic>
    <xdr:clientData/>
  </xdr:twoCellAnchor>
  <xdr:twoCellAnchor editAs="oneCell">
    <xdr:from>
      <xdr:col>1</xdr:col>
      <xdr:colOff>522515</xdr:colOff>
      <xdr:row>0</xdr:row>
      <xdr:rowOff>189890</xdr:rowOff>
    </xdr:from>
    <xdr:to>
      <xdr:col>7</xdr:col>
      <xdr:colOff>412750</xdr:colOff>
      <xdr:row>6</xdr:row>
      <xdr:rowOff>58693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3AA1572B-90D5-4BF7-AA2A-FF47DE50A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2115" y="189890"/>
          <a:ext cx="6630760" cy="10118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544286</xdr:colOff>
      <xdr:row>15</xdr:row>
      <xdr:rowOff>244929</xdr:rowOff>
    </xdr:from>
    <xdr:to>
      <xdr:col>4</xdr:col>
      <xdr:colOff>149678</xdr:colOff>
      <xdr:row>28</xdr:row>
      <xdr:rowOff>204107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FE03EE26-238A-492F-9C72-5EB4C98A2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16328</xdr:colOff>
      <xdr:row>31</xdr:row>
      <xdr:rowOff>136070</xdr:rowOff>
    </xdr:from>
    <xdr:to>
      <xdr:col>4</xdr:col>
      <xdr:colOff>100692</xdr:colOff>
      <xdr:row>46</xdr:row>
      <xdr:rowOff>133349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B1FAEBFC-BD04-4EEB-8411-15E2A79C7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61233</xdr:colOff>
      <xdr:row>50</xdr:row>
      <xdr:rowOff>83002</xdr:rowOff>
    </xdr:from>
    <xdr:to>
      <xdr:col>2</xdr:col>
      <xdr:colOff>2162175</xdr:colOff>
      <xdr:row>52</xdr:row>
      <xdr:rowOff>127535</xdr:rowOff>
    </xdr:to>
    <xdr:pic>
      <xdr:nvPicPr>
        <xdr:cNvPr id="4" name="Рисунок 3">
          <a:hlinkClick xmlns:r="http://schemas.openxmlformats.org/officeDocument/2006/relationships" r:id="rId3" tooltip=" "/>
          <a:extLst>
            <a:ext uri="{FF2B5EF4-FFF2-40B4-BE49-F238E27FC236}">
              <a16:creationId xmlns="" xmlns:a16="http://schemas.microsoft.com/office/drawing/2014/main" id="{93C3C8D6-1B9C-40AA-99E0-4B91ACE3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1333" y="10608127"/>
          <a:ext cx="2100942" cy="425533"/>
        </a:xfrm>
        <a:prstGeom prst="rect">
          <a:avLst/>
        </a:prstGeom>
      </xdr:spPr>
    </xdr:pic>
    <xdr:clientData/>
  </xdr:twoCellAnchor>
  <xdr:twoCellAnchor editAs="oneCell">
    <xdr:from>
      <xdr:col>2</xdr:col>
      <xdr:colOff>191860</xdr:colOff>
      <xdr:row>1</xdr:row>
      <xdr:rowOff>47625</xdr:rowOff>
    </xdr:from>
    <xdr:to>
      <xdr:col>3</xdr:col>
      <xdr:colOff>2181225</xdr:colOff>
      <xdr:row>6</xdr:row>
      <xdr:rowOff>141698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1F498CAE-03BD-4429-9F6C-A6E4CB55A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6360" y="247650"/>
          <a:ext cx="5294540" cy="10560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40822</xdr:colOff>
      <xdr:row>14</xdr:row>
      <xdr:rowOff>103124</xdr:rowOff>
    </xdr:from>
    <xdr:to>
      <xdr:col>4</xdr:col>
      <xdr:colOff>236445</xdr:colOff>
      <xdr:row>41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1D440D5-9DCB-4DD7-8AFA-95F08238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244929</xdr:colOff>
      <xdr:row>13</xdr:row>
      <xdr:rowOff>9523</xdr:rowOff>
    </xdr:from>
    <xdr:to>
      <xdr:col>10</xdr:col>
      <xdr:colOff>0</xdr:colOff>
      <xdr:row>31</xdr:row>
      <xdr:rowOff>13606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EB385071-6ACA-425B-BFD8-573299A43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52;_&#1063;&#1077;&#1083;&#1086;&#1074;&#1077;&#1082;_&#1056;&#1072;&#1079;&#1091;&#1084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Параметры"/>
      <sheetName val="Этапы"/>
      <sheetName val="Графики"/>
      <sheetName val="Кредит"/>
      <sheetName val="Инвестиции"/>
      <sheetName val="Продажи"/>
      <sheetName val="Анализ"/>
      <sheetName val="БДР"/>
      <sheetName val="Результат"/>
      <sheetName val="Внутр"/>
      <sheetName val="Безубыточность"/>
    </sheetNames>
    <sheetDataSet>
      <sheetData sheetId="0"/>
      <sheetData sheetId="1">
        <row r="36">
          <cell r="C36" t="str">
            <v>Регистрация ООО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C9" t="str">
            <v>Год</v>
          </cell>
        </row>
      </sheetData>
      <sheetData sheetId="9"/>
      <sheetData sheetId="10">
        <row r="2">
          <cell r="B2">
            <v>44197</v>
          </cell>
          <cell r="L2" t="str">
            <v>собственник франшизы</v>
          </cell>
        </row>
        <row r="3">
          <cell r="B3">
            <v>44228</v>
          </cell>
          <cell r="L3" t="str">
            <v>наёмный сотрудник</v>
          </cell>
        </row>
        <row r="4">
          <cell r="B4">
            <v>44256</v>
          </cell>
        </row>
        <row r="5">
          <cell r="B5">
            <v>44287</v>
          </cell>
        </row>
        <row r="6">
          <cell r="B6">
            <v>44317</v>
          </cell>
        </row>
        <row r="7">
          <cell r="B7">
            <v>44348</v>
          </cell>
        </row>
        <row r="8">
          <cell r="B8">
            <v>44378</v>
          </cell>
          <cell r="L8" t="str">
            <v>От 130 до 200 тыс. жителей</v>
          </cell>
        </row>
        <row r="9">
          <cell r="B9">
            <v>44409</v>
          </cell>
          <cell r="L9" t="str">
            <v>От 200 до 500 тыс. жителей</v>
          </cell>
        </row>
        <row r="10">
          <cell r="B10">
            <v>44440</v>
          </cell>
          <cell r="L10" t="str">
            <v>От 500 до 1 000 тыс. жителей</v>
          </cell>
        </row>
        <row r="11">
          <cell r="B11">
            <v>44470</v>
          </cell>
          <cell r="L11" t="str">
            <v>От 1 млн жителей</v>
          </cell>
        </row>
        <row r="12">
          <cell r="B12">
            <v>44501</v>
          </cell>
          <cell r="L12" t="str">
            <v>Москва и Санкт-Петербург</v>
          </cell>
        </row>
        <row r="13">
          <cell r="B13">
            <v>44531</v>
          </cell>
        </row>
        <row r="17">
          <cell r="I17" t="str">
            <v>ООО</v>
          </cell>
          <cell r="J17" t="str">
            <v>ИП</v>
          </cell>
        </row>
        <row r="25">
          <cell r="H25" t="str">
            <v>УСН (доходы)</v>
          </cell>
        </row>
        <row r="26">
          <cell r="H26" t="str">
            <v>УСН (доходы-расходы)</v>
          </cell>
        </row>
        <row r="27">
          <cell r="H27" t="str">
            <v>ПСН (патент)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/>
  </sheetPr>
  <dimension ref="A1:N25"/>
  <sheetViews>
    <sheetView showGridLines="0" workbookViewId="0">
      <selection activeCell="H21" sqref="H21"/>
    </sheetView>
  </sheetViews>
  <sheetFormatPr defaultColWidth="0" defaultRowHeight="15" zeroHeight="1"/>
  <cols>
    <col min="1" max="14" width="9.140625" customWidth="1"/>
    <col min="15" max="16384" width="9.140625" hidden="1"/>
  </cols>
  <sheetData>
    <row r="1" spans="1:14"/>
    <row r="2" spans="1:14" ht="15" customHeight="1">
      <c r="A2" s="444" t="s">
        <v>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15" customHeight="1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</row>
    <row r="4" spans="1:14" ht="15" customHeight="1">
      <c r="A4" s="444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</row>
    <row r="5" spans="1:14"/>
    <row r="6" spans="1:14"/>
    <row r="7" spans="1:14"/>
    <row r="8" spans="1:14"/>
    <row r="9" spans="1:14"/>
    <row r="10" spans="1:14"/>
    <row r="11" spans="1:14"/>
    <row r="12" spans="1:14"/>
    <row r="13" spans="1:14"/>
    <row r="14" spans="1:14"/>
    <row r="15" spans="1:14"/>
    <row r="16" spans="1:14"/>
    <row r="17"/>
    <row r="18"/>
    <row r="19"/>
    <row r="20"/>
    <row r="21"/>
    <row r="22"/>
    <row r="23"/>
    <row r="24"/>
    <row r="25"/>
  </sheetData>
  <mergeCells count="1">
    <mergeCell ref="A2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O45"/>
  <sheetViews>
    <sheetView topLeftCell="A10" workbookViewId="0">
      <selection activeCell="F39" sqref="F39"/>
    </sheetView>
  </sheetViews>
  <sheetFormatPr defaultColWidth="0" defaultRowHeight="15" customHeight="1" zeroHeight="1"/>
  <cols>
    <col min="1" max="1" width="9.140625" style="1" customWidth="1"/>
    <col min="2" max="2" width="53.140625" customWidth="1"/>
    <col min="3" max="3" width="19.42578125" customWidth="1"/>
    <col min="4" max="4" width="18.7109375" customWidth="1"/>
    <col min="5" max="5" width="9.140625" customWidth="1"/>
    <col min="6" max="6" width="22.5703125" customWidth="1"/>
    <col min="7" max="7" width="15" bestFit="1" customWidth="1"/>
    <col min="8" max="10" width="9.140625" customWidth="1"/>
    <col min="11" max="15" width="0" hidden="1" customWidth="1"/>
    <col min="16" max="16384" width="9.140625" hidden="1"/>
  </cols>
  <sheetData>
    <row r="1" spans="1:15"/>
    <row r="2" spans="1:15" ht="15.75">
      <c r="A2" s="112"/>
      <c r="B2" s="113" t="s">
        <v>94</v>
      </c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.75">
      <c r="A3" s="116"/>
      <c r="B3" s="117" t="s">
        <v>95</v>
      </c>
      <c r="C3" s="117" t="s">
        <v>96</v>
      </c>
      <c r="D3" s="117" t="s">
        <v>97</v>
      </c>
      <c r="E3" s="118"/>
      <c r="H3" s="118"/>
      <c r="I3" s="118"/>
      <c r="J3" s="118"/>
      <c r="K3" s="118"/>
      <c r="L3" s="118"/>
      <c r="M3" s="118"/>
      <c r="N3" s="118"/>
      <c r="O3" s="118"/>
    </row>
    <row r="4" spans="1:15">
      <c r="A4" s="121">
        <v>1</v>
      </c>
      <c r="B4" s="119" t="s">
        <v>99</v>
      </c>
      <c r="C4" s="122">
        <v>30</v>
      </c>
      <c r="D4" s="122">
        <v>1</v>
      </c>
      <c r="E4" s="118"/>
      <c r="H4" s="118"/>
      <c r="I4" s="118"/>
      <c r="J4" s="118"/>
      <c r="K4" s="118"/>
      <c r="L4" s="118"/>
      <c r="M4" s="118"/>
      <c r="N4" s="118"/>
      <c r="O4" s="118"/>
    </row>
    <row r="5" spans="1:15">
      <c r="A5" s="121">
        <v>2</v>
      </c>
      <c r="B5" s="119" t="s">
        <v>101</v>
      </c>
      <c r="C5" s="122">
        <v>15</v>
      </c>
      <c r="D5" s="122">
        <v>14</v>
      </c>
      <c r="E5" s="118"/>
      <c r="H5" s="118"/>
      <c r="I5" s="118"/>
      <c r="J5" s="118"/>
      <c r="K5" s="118"/>
      <c r="L5" s="118"/>
      <c r="M5" s="118"/>
      <c r="N5" s="118"/>
      <c r="O5" s="118"/>
    </row>
    <row r="6" spans="1:15" ht="18" customHeight="1">
      <c r="A6" s="121">
        <v>3</v>
      </c>
      <c r="B6" s="119" t="s">
        <v>108</v>
      </c>
      <c r="C6" s="122">
        <v>10</v>
      </c>
      <c r="D6" s="122">
        <v>15</v>
      </c>
      <c r="E6" s="118"/>
      <c r="H6" s="118"/>
      <c r="I6" s="118"/>
      <c r="J6" s="118"/>
      <c r="K6" s="118"/>
      <c r="L6" s="118"/>
      <c r="M6" s="118"/>
      <c r="N6" s="118"/>
      <c r="O6" s="118"/>
    </row>
    <row r="7" spans="1:15">
      <c r="A7" s="121">
        <v>4</v>
      </c>
      <c r="B7" s="119" t="s">
        <v>102</v>
      </c>
      <c r="C7" s="122">
        <v>10</v>
      </c>
      <c r="D7" s="122">
        <v>15</v>
      </c>
      <c r="E7" s="118"/>
      <c r="H7" s="118"/>
      <c r="I7" s="118"/>
      <c r="J7" s="118"/>
      <c r="K7" s="118"/>
      <c r="L7" s="118"/>
      <c r="M7" s="118"/>
      <c r="N7" s="118"/>
      <c r="O7" s="118"/>
    </row>
    <row r="8" spans="1:15">
      <c r="A8" s="121">
        <v>5</v>
      </c>
      <c r="B8" s="119" t="s">
        <v>103</v>
      </c>
      <c r="C8" s="122">
        <v>5</v>
      </c>
      <c r="D8" s="122">
        <v>25</v>
      </c>
      <c r="E8" s="118"/>
      <c r="H8" s="118"/>
      <c r="I8" s="118"/>
      <c r="J8" s="118"/>
      <c r="K8" s="118"/>
      <c r="L8" s="118"/>
      <c r="M8" s="118"/>
      <c r="N8" s="118"/>
      <c r="O8" s="118"/>
    </row>
    <row r="9" spans="1:15">
      <c r="A9" s="121">
        <v>6</v>
      </c>
      <c r="B9" s="119" t="s">
        <v>105</v>
      </c>
      <c r="C9" s="122">
        <v>3</v>
      </c>
      <c r="D9" s="122">
        <v>10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>
      <c r="A10" s="121">
        <v>7</v>
      </c>
      <c r="B10" s="119" t="s">
        <v>106</v>
      </c>
      <c r="C10" s="122">
        <v>3</v>
      </c>
      <c r="D10" s="122">
        <v>7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>
      <c r="A11" s="121">
        <v>8</v>
      </c>
      <c r="B11" s="119" t="s">
        <v>107</v>
      </c>
      <c r="C11" s="122">
        <v>1</v>
      </c>
      <c r="D11" s="122">
        <v>2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>
      <c r="F14" s="118"/>
      <c r="G14" s="118"/>
    </row>
    <row r="15" spans="1:15">
      <c r="A15"/>
      <c r="F15" s="118"/>
      <c r="G15" s="118"/>
    </row>
    <row r="16" spans="1:1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/>
    <row r="32" spans="1:1"/>
    <row r="33" spans="6:7"/>
    <row r="34" spans="6:7"/>
    <row r="35" spans="6:7"/>
    <row r="36" spans="6:7">
      <c r="F36" s="119" t="s">
        <v>98</v>
      </c>
      <c r="G36" s="120">
        <f>Инвестиции!F12</f>
        <v>17400</v>
      </c>
    </row>
    <row r="37" spans="6:7">
      <c r="F37" s="119" t="s">
        <v>100</v>
      </c>
      <c r="G37" s="120">
        <f>Инвестиции!F18</f>
        <v>500000</v>
      </c>
    </row>
    <row r="38" spans="6:7">
      <c r="F38" s="119" t="s">
        <v>33</v>
      </c>
      <c r="G38" s="120">
        <f>Инвестиции!F19</f>
        <v>5000</v>
      </c>
    </row>
    <row r="39" spans="6:7">
      <c r="F39" s="119" t="str">
        <f>Инвестиции!C21</f>
        <v>Оснащение  помещений</v>
      </c>
      <c r="G39" s="120">
        <f>Инвестиции!F21</f>
        <v>30000</v>
      </c>
    </row>
    <row r="40" spans="6:7" ht="25.5">
      <c r="F40" s="119" t="str">
        <f>Инвестиции!C23</f>
        <v>Организационные расходы</v>
      </c>
      <c r="G40" s="120">
        <f>Инвестиции!F23</f>
        <v>21000</v>
      </c>
    </row>
    <row r="41" spans="6:7">
      <c r="F41" s="119" t="str">
        <f>Инвестиции!C26</f>
        <v>Прочие расходы</v>
      </c>
      <c r="G41" s="120">
        <f>Инвестиции!F26</f>
        <v>0</v>
      </c>
    </row>
    <row r="42" spans="6:7"/>
    <row r="43" spans="6:7" ht="15" customHeight="1"/>
    <row r="44" spans="6:7" ht="15" customHeight="1"/>
    <row r="45" spans="6:7" ht="15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C66"/>
  <sheetViews>
    <sheetView topLeftCell="A16" workbookViewId="0">
      <selection activeCell="P18" sqref="P18:P20"/>
    </sheetView>
  </sheetViews>
  <sheetFormatPr defaultRowHeight="15"/>
  <cols>
    <col min="2" max="2" width="33.7109375" customWidth="1"/>
    <col min="3" max="3" width="37.7109375" customWidth="1"/>
    <col min="4" max="6" width="12.28515625" bestFit="1" customWidth="1"/>
    <col min="7" max="10" width="12.28515625" customWidth="1"/>
    <col min="11" max="15" width="12.28515625" bestFit="1" customWidth="1"/>
    <col min="16" max="16" width="15.28515625" customWidth="1"/>
    <col min="17" max="20" width="12.28515625" bestFit="1" customWidth="1"/>
    <col min="21" max="27" width="11.7109375" bestFit="1" customWidth="1"/>
    <col min="28" max="28" width="13.28515625" bestFit="1" customWidth="1"/>
    <col min="29" max="29" width="17.28515625" customWidth="1"/>
  </cols>
  <sheetData>
    <row r="1" spans="1:29" ht="15.75" thickBot="1">
      <c r="B1" s="78" t="s">
        <v>60</v>
      </c>
    </row>
    <row r="2" spans="1:29" ht="15.75" thickBot="1">
      <c r="A2" s="206"/>
      <c r="B2" s="207" t="s">
        <v>128</v>
      </c>
      <c r="C2" s="207"/>
      <c r="D2" s="208">
        <v>2021</v>
      </c>
      <c r="E2" s="208">
        <v>2021</v>
      </c>
      <c r="F2" s="208">
        <v>2021</v>
      </c>
      <c r="G2" s="208">
        <v>2021</v>
      </c>
      <c r="H2" s="208">
        <v>2021</v>
      </c>
      <c r="I2" s="208">
        <v>2021</v>
      </c>
      <c r="J2" s="208">
        <v>2021</v>
      </c>
      <c r="K2" s="208">
        <v>2021</v>
      </c>
      <c r="L2" s="208">
        <v>2021</v>
      </c>
      <c r="M2" s="208">
        <v>2021</v>
      </c>
      <c r="N2" s="208">
        <v>2021</v>
      </c>
      <c r="O2" s="208">
        <v>2021</v>
      </c>
      <c r="P2" s="546" t="s">
        <v>129</v>
      </c>
      <c r="Q2" s="209">
        <v>2022</v>
      </c>
      <c r="R2" s="209">
        <v>2022</v>
      </c>
      <c r="S2" s="209">
        <v>2022</v>
      </c>
      <c r="T2" s="209">
        <v>2022</v>
      </c>
      <c r="U2" s="209">
        <v>2022</v>
      </c>
      <c r="V2" s="209">
        <v>2022</v>
      </c>
      <c r="W2" s="209">
        <v>2022</v>
      </c>
      <c r="X2" s="209">
        <v>2022</v>
      </c>
      <c r="Y2" s="209">
        <v>2022</v>
      </c>
      <c r="Z2" s="209">
        <v>2022</v>
      </c>
      <c r="AA2" s="209">
        <v>2022</v>
      </c>
      <c r="AB2" s="209">
        <v>2022</v>
      </c>
      <c r="AC2" s="546" t="s">
        <v>130</v>
      </c>
    </row>
    <row r="3" spans="1:29" ht="15.75" thickTop="1">
      <c r="A3" s="210"/>
      <c r="B3" s="211"/>
      <c r="C3" s="212"/>
      <c r="D3" s="213" t="s">
        <v>131</v>
      </c>
      <c r="E3" s="213" t="s">
        <v>132</v>
      </c>
      <c r="F3" s="213" t="s">
        <v>133</v>
      </c>
      <c r="G3" s="213" t="s">
        <v>134</v>
      </c>
      <c r="H3" s="213" t="s">
        <v>135</v>
      </c>
      <c r="I3" s="213" t="s">
        <v>136</v>
      </c>
      <c r="J3" s="213" t="s">
        <v>137</v>
      </c>
      <c r="K3" s="213" t="s">
        <v>138</v>
      </c>
      <c r="L3" s="213" t="s">
        <v>139</v>
      </c>
      <c r="M3" s="213" t="s">
        <v>140</v>
      </c>
      <c r="N3" s="213" t="s">
        <v>141</v>
      </c>
      <c r="O3" s="213" t="s">
        <v>142</v>
      </c>
      <c r="P3" s="547"/>
      <c r="Q3" s="94" t="s">
        <v>131</v>
      </c>
      <c r="R3" s="94" t="s">
        <v>132</v>
      </c>
      <c r="S3" s="94" t="s">
        <v>133</v>
      </c>
      <c r="T3" s="94" t="s">
        <v>134</v>
      </c>
      <c r="U3" s="94" t="s">
        <v>135</v>
      </c>
      <c r="V3" s="94" t="s">
        <v>136</v>
      </c>
      <c r="W3" s="94" t="s">
        <v>137</v>
      </c>
      <c r="X3" s="94" t="s">
        <v>138</v>
      </c>
      <c r="Y3" s="94" t="s">
        <v>139</v>
      </c>
      <c r="Z3" s="94" t="s">
        <v>140</v>
      </c>
      <c r="AA3" s="94" t="s">
        <v>141</v>
      </c>
      <c r="AB3" s="94" t="s">
        <v>142</v>
      </c>
      <c r="AC3" s="547"/>
    </row>
    <row r="4" spans="1:29">
      <c r="A4" s="210"/>
      <c r="B4" s="214" t="s">
        <v>143</v>
      </c>
      <c r="C4" s="215"/>
      <c r="D4" s="216">
        <v>5</v>
      </c>
      <c r="E4" s="217">
        <v>10</v>
      </c>
      <c r="F4" s="217">
        <v>20</v>
      </c>
      <c r="G4" s="217">
        <v>20</v>
      </c>
      <c r="H4" s="217">
        <v>25</v>
      </c>
      <c r="I4" s="217">
        <v>30</v>
      </c>
      <c r="J4" s="217">
        <v>30</v>
      </c>
      <c r="K4" s="217">
        <v>30</v>
      </c>
      <c r="L4" s="217">
        <v>30</v>
      </c>
      <c r="M4" s="217">
        <v>30</v>
      </c>
      <c r="N4" s="217">
        <v>30</v>
      </c>
      <c r="O4" s="217">
        <v>30</v>
      </c>
      <c r="P4" s="218"/>
      <c r="Q4" s="217">
        <v>20</v>
      </c>
      <c r="R4" s="217">
        <v>20</v>
      </c>
      <c r="S4" s="217">
        <v>20</v>
      </c>
      <c r="T4" s="217">
        <v>25</v>
      </c>
      <c r="U4" s="217">
        <v>45</v>
      </c>
      <c r="V4" s="217">
        <v>60</v>
      </c>
      <c r="W4" s="217">
        <v>70</v>
      </c>
      <c r="X4" s="217">
        <v>90</v>
      </c>
      <c r="Y4" s="217">
        <v>90</v>
      </c>
      <c r="Z4" s="217">
        <v>95</v>
      </c>
      <c r="AA4" s="217">
        <v>95</v>
      </c>
      <c r="AB4" s="217">
        <v>100</v>
      </c>
      <c r="AC4" s="219"/>
    </row>
    <row r="5" spans="1:29">
      <c r="A5" s="210"/>
      <c r="B5" s="277"/>
      <c r="C5" s="229"/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80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19"/>
    </row>
    <row r="6" spans="1:29">
      <c r="A6" s="210"/>
      <c r="B6" s="220" t="s">
        <v>144</v>
      </c>
      <c r="C6" s="221"/>
      <c r="D6" s="21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1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219"/>
    </row>
    <row r="7" spans="1:29" ht="18.75">
      <c r="A7" s="210"/>
      <c r="B7" s="211"/>
      <c r="C7" s="222" t="s">
        <v>145</v>
      </c>
      <c r="D7" s="223">
        <v>145</v>
      </c>
      <c r="E7" s="224">
        <v>268</v>
      </c>
      <c r="F7" s="224">
        <v>345</v>
      </c>
      <c r="G7" s="224">
        <v>448</v>
      </c>
      <c r="H7" s="224">
        <v>507</v>
      </c>
      <c r="I7" s="224">
        <v>780</v>
      </c>
      <c r="J7" s="224">
        <v>812</v>
      </c>
      <c r="K7" s="224">
        <v>925</v>
      </c>
      <c r="L7" s="224">
        <v>758</v>
      </c>
      <c r="M7" s="224">
        <v>680</v>
      </c>
      <c r="N7" s="224">
        <v>556</v>
      </c>
      <c r="O7" s="224">
        <v>615</v>
      </c>
      <c r="P7" s="225">
        <f>SUM(D7:O7)</f>
        <v>6839</v>
      </c>
      <c r="Q7" s="224">
        <v>400</v>
      </c>
      <c r="R7" s="224">
        <v>800</v>
      </c>
      <c r="S7" s="226">
        <f>R7*1.25</f>
        <v>1000</v>
      </c>
      <c r="T7" s="226">
        <f>S7*1.4</f>
        <v>1400</v>
      </c>
      <c r="U7" s="226">
        <f>T7*1.4</f>
        <v>1959.9999999999998</v>
      </c>
      <c r="V7" s="226">
        <f>U7*1.15</f>
        <v>2253.9999999999995</v>
      </c>
      <c r="W7" s="226">
        <f>V7*1.15</f>
        <v>2592.0999999999995</v>
      </c>
      <c r="X7" s="226">
        <f>W7*1.15</f>
        <v>2980.9149999999991</v>
      </c>
      <c r="Y7" s="226">
        <f>X7*1.15</f>
        <v>3428.0522499999988</v>
      </c>
      <c r="Z7" s="226">
        <f>Y7*1.05</f>
        <v>3599.4548624999989</v>
      </c>
      <c r="AA7" s="226">
        <v>2400</v>
      </c>
      <c r="AB7" s="226">
        <v>1900</v>
      </c>
      <c r="AC7" s="227">
        <f>SUM(Q7:AB7)</f>
        <v>24714.522112499995</v>
      </c>
    </row>
    <row r="8" spans="1:29" ht="18.75">
      <c r="A8" s="210"/>
      <c r="B8" s="211"/>
      <c r="C8" s="222" t="s">
        <v>146</v>
      </c>
      <c r="D8" s="223">
        <v>20</v>
      </c>
      <c r="E8" s="228">
        <v>45</v>
      </c>
      <c r="F8" s="226">
        <v>60</v>
      </c>
      <c r="G8" s="226">
        <v>72</v>
      </c>
      <c r="H8" s="226">
        <v>80</v>
      </c>
      <c r="I8" s="226">
        <v>120</v>
      </c>
      <c r="J8" s="226">
        <v>130</v>
      </c>
      <c r="K8" s="226">
        <v>120</v>
      </c>
      <c r="L8" s="226">
        <v>150</v>
      </c>
      <c r="M8" s="226">
        <v>150</v>
      </c>
      <c r="N8" s="226">
        <v>100</v>
      </c>
      <c r="O8" s="226">
        <v>80</v>
      </c>
      <c r="P8" s="225">
        <f>SUM(D8:O8)</f>
        <v>1127</v>
      </c>
      <c r="Q8" s="226">
        <v>90</v>
      </c>
      <c r="R8" s="226">
        <v>100</v>
      </c>
      <c r="S8" s="226">
        <f>R8*1.25</f>
        <v>125</v>
      </c>
      <c r="T8" s="226">
        <f>S8*1.4</f>
        <v>175</v>
      </c>
      <c r="U8" s="226">
        <f>T8*1.4</f>
        <v>244.99999999999997</v>
      </c>
      <c r="V8" s="226">
        <f>U8*1.4</f>
        <v>342.99999999999994</v>
      </c>
      <c r="W8" s="226">
        <f>V8*1.05</f>
        <v>360.15</v>
      </c>
      <c r="X8" s="226">
        <f>W8*1.05</f>
        <v>378.15749999999997</v>
      </c>
      <c r="Y8" s="226">
        <f>X8*1.05</f>
        <v>397.06537499999996</v>
      </c>
      <c r="Z8" s="226">
        <v>250</v>
      </c>
      <c r="AA8" s="226">
        <v>200</v>
      </c>
      <c r="AB8" s="226">
        <v>200</v>
      </c>
      <c r="AC8" s="227">
        <f>SUM(Q8:AB8)</f>
        <v>2863.372875</v>
      </c>
    </row>
    <row r="9" spans="1:29" ht="18.75">
      <c r="A9" s="210"/>
      <c r="B9" s="211"/>
      <c r="C9" s="222" t="s">
        <v>147</v>
      </c>
      <c r="D9" s="223">
        <v>2</v>
      </c>
      <c r="E9" s="224">
        <v>8</v>
      </c>
      <c r="F9" s="226">
        <v>15</v>
      </c>
      <c r="G9" s="226">
        <v>12</v>
      </c>
      <c r="H9" s="226">
        <f>G9*1.2</f>
        <v>14.399999999999999</v>
      </c>
      <c r="I9" s="226">
        <f t="shared" ref="I9:O9" si="0">H9*1.2</f>
        <v>17.279999999999998</v>
      </c>
      <c r="J9" s="226">
        <f t="shared" si="0"/>
        <v>20.735999999999997</v>
      </c>
      <c r="K9" s="226">
        <f t="shared" si="0"/>
        <v>24.883199999999995</v>
      </c>
      <c r="L9" s="226">
        <f t="shared" si="0"/>
        <v>29.859839999999991</v>
      </c>
      <c r="M9" s="226">
        <f>L9*1.2</f>
        <v>35.831807999999988</v>
      </c>
      <c r="N9" s="226">
        <f t="shared" si="0"/>
        <v>42.998169599999983</v>
      </c>
      <c r="O9" s="226">
        <f t="shared" si="0"/>
        <v>51.597803519999978</v>
      </c>
      <c r="P9" s="227">
        <f>SUM(D9:O9)</f>
        <v>274.58682111999991</v>
      </c>
      <c r="Q9" s="226">
        <v>45</v>
      </c>
      <c r="R9" s="226">
        <v>50</v>
      </c>
      <c r="S9" s="226">
        <f>R9*1.25</f>
        <v>62.5</v>
      </c>
      <c r="T9" s="226">
        <f t="shared" ref="T9:AA9" si="1">S9*1.05</f>
        <v>65.625</v>
      </c>
      <c r="U9" s="226">
        <v>20</v>
      </c>
      <c r="V9" s="226">
        <f t="shared" si="1"/>
        <v>21</v>
      </c>
      <c r="W9" s="226">
        <f t="shared" si="1"/>
        <v>22.05</v>
      </c>
      <c r="X9" s="226">
        <f t="shared" si="1"/>
        <v>23.152500000000003</v>
      </c>
      <c r="Y9" s="226">
        <f t="shared" si="1"/>
        <v>24.310125000000003</v>
      </c>
      <c r="Z9" s="226">
        <f t="shared" si="1"/>
        <v>25.525631250000004</v>
      </c>
      <c r="AA9" s="226">
        <f t="shared" si="1"/>
        <v>26.801912812500007</v>
      </c>
      <c r="AB9" s="226">
        <f>AA9*1.05</f>
        <v>28.142008453125008</v>
      </c>
      <c r="AC9" s="227">
        <f>SUM(Q9:AB9)</f>
        <v>414.10717751562504</v>
      </c>
    </row>
    <row r="10" spans="1:29" ht="18.75">
      <c r="A10" s="210"/>
      <c r="B10" s="211"/>
      <c r="C10" s="222"/>
      <c r="D10" s="223" t="s">
        <v>216</v>
      </c>
      <c r="E10" s="223" t="s">
        <v>216</v>
      </c>
      <c r="F10" s="223" t="s">
        <v>216</v>
      </c>
      <c r="G10" s="223" t="s">
        <v>216</v>
      </c>
      <c r="H10" s="223" t="s">
        <v>216</v>
      </c>
      <c r="I10" s="223" t="s">
        <v>216</v>
      </c>
      <c r="J10" s="223" t="s">
        <v>216</v>
      </c>
      <c r="K10" s="223" t="s">
        <v>216</v>
      </c>
      <c r="L10" s="223" t="s">
        <v>216</v>
      </c>
      <c r="M10" s="223" t="s">
        <v>216</v>
      </c>
      <c r="N10" s="223" t="s">
        <v>216</v>
      </c>
      <c r="O10" s="223" t="s">
        <v>216</v>
      </c>
      <c r="P10" s="223" t="s">
        <v>216</v>
      </c>
      <c r="Q10" s="223" t="s">
        <v>216</v>
      </c>
      <c r="R10" s="223" t="s">
        <v>216</v>
      </c>
      <c r="S10" s="223" t="s">
        <v>216</v>
      </c>
      <c r="T10" s="223" t="s">
        <v>216</v>
      </c>
      <c r="U10" s="223" t="s">
        <v>216</v>
      </c>
      <c r="V10" s="223" t="s">
        <v>216</v>
      </c>
      <c r="W10" s="223" t="s">
        <v>216</v>
      </c>
      <c r="X10" s="223" t="s">
        <v>216</v>
      </c>
      <c r="Y10" s="223" t="s">
        <v>216</v>
      </c>
      <c r="Z10" s="223" t="s">
        <v>216</v>
      </c>
      <c r="AA10" s="223" t="s">
        <v>216</v>
      </c>
      <c r="AB10" s="223" t="s">
        <v>216</v>
      </c>
      <c r="AC10" s="227"/>
    </row>
    <row r="11" spans="1:29" ht="18.75">
      <c r="A11" s="210"/>
      <c r="B11" s="211"/>
      <c r="C11" s="222"/>
      <c r="D11" s="223" t="s">
        <v>216</v>
      </c>
      <c r="E11" s="223" t="s">
        <v>216</v>
      </c>
      <c r="F11" s="223" t="s">
        <v>216</v>
      </c>
      <c r="G11" s="223" t="s">
        <v>216</v>
      </c>
      <c r="H11" s="223" t="s">
        <v>216</v>
      </c>
      <c r="I11" s="223" t="s">
        <v>216</v>
      </c>
      <c r="J11" s="223" t="s">
        <v>216</v>
      </c>
      <c r="K11" s="223" t="s">
        <v>216</v>
      </c>
      <c r="L11" s="223" t="s">
        <v>216</v>
      </c>
      <c r="M11" s="223" t="s">
        <v>216</v>
      </c>
      <c r="N11" s="223" t="s">
        <v>216</v>
      </c>
      <c r="O11" s="223" t="s">
        <v>216</v>
      </c>
      <c r="P11" s="223" t="s">
        <v>216</v>
      </c>
      <c r="Q11" s="223" t="s">
        <v>216</v>
      </c>
      <c r="R11" s="223" t="s">
        <v>216</v>
      </c>
      <c r="S11" s="223" t="s">
        <v>216</v>
      </c>
      <c r="T11" s="223" t="s">
        <v>216</v>
      </c>
      <c r="U11" s="223" t="s">
        <v>216</v>
      </c>
      <c r="V11" s="223" t="s">
        <v>216</v>
      </c>
      <c r="W11" s="223" t="s">
        <v>216</v>
      </c>
      <c r="X11" s="223" t="s">
        <v>216</v>
      </c>
      <c r="Y11" s="223" t="s">
        <v>216</v>
      </c>
      <c r="Z11" s="223" t="s">
        <v>216</v>
      </c>
      <c r="AA11" s="223" t="s">
        <v>216</v>
      </c>
      <c r="AB11" s="223" t="s">
        <v>216</v>
      </c>
      <c r="AC11" s="227"/>
    </row>
    <row r="12" spans="1:29" ht="18.75">
      <c r="A12" s="210"/>
      <c r="B12" s="211"/>
      <c r="C12" s="282" t="s">
        <v>218</v>
      </c>
      <c r="D12" s="283">
        <f>Параметры!F72</f>
        <v>882</v>
      </c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7"/>
    </row>
    <row r="13" spans="1:29" ht="18.75">
      <c r="A13" s="210"/>
      <c r="B13" s="211"/>
      <c r="C13" s="282" t="s">
        <v>219</v>
      </c>
      <c r="D13" s="283">
        <f>Параметры!F73</f>
        <v>800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7"/>
    </row>
    <row r="14" spans="1:29" ht="18.75">
      <c r="A14" s="210"/>
      <c r="B14" s="211"/>
      <c r="C14" s="282" t="s">
        <v>220</v>
      </c>
      <c r="D14" s="283">
        <f>Параметры!F74</f>
        <v>4000</v>
      </c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7"/>
    </row>
    <row r="15" spans="1:29" ht="18.75">
      <c r="A15" s="210"/>
      <c r="B15" s="211"/>
      <c r="C15" s="282" t="s">
        <v>221</v>
      </c>
      <c r="D15" s="223" t="s">
        <v>216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7"/>
    </row>
    <row r="16" spans="1:29" ht="18.75">
      <c r="A16" s="210"/>
      <c r="B16" s="211"/>
      <c r="C16" s="282" t="s">
        <v>222</v>
      </c>
      <c r="D16" s="223" t="s">
        <v>216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7"/>
    </row>
    <row r="17" spans="1:29" ht="18.75">
      <c r="A17" s="210">
        <v>1</v>
      </c>
      <c r="B17" s="220" t="s">
        <v>148</v>
      </c>
      <c r="C17" s="221"/>
      <c r="D17" s="230">
        <f>SUM(D18:D20)</f>
        <v>151890</v>
      </c>
      <c r="E17" s="231">
        <f t="shared" ref="E17:AB17" si="2">SUM(E18:E20)</f>
        <v>304376</v>
      </c>
      <c r="F17" s="231">
        <f>SUM(F18:F20)</f>
        <v>412290</v>
      </c>
      <c r="G17" s="231">
        <f>SUM(G18:G20)</f>
        <v>500736</v>
      </c>
      <c r="H17" s="231">
        <f>SUM(H18:H20)</f>
        <v>568774</v>
      </c>
      <c r="I17" s="231">
        <f>SUM(I18:I20)</f>
        <v>853080</v>
      </c>
      <c r="J17" s="231">
        <f>SUM(J18:J20)</f>
        <v>903128</v>
      </c>
      <c r="K17" s="231">
        <f t="shared" si="2"/>
        <v>1011382.7999999999</v>
      </c>
      <c r="L17" s="231">
        <f t="shared" si="2"/>
        <v>907995.36</v>
      </c>
      <c r="M17" s="231">
        <f t="shared" si="2"/>
        <v>863087.23199999996</v>
      </c>
      <c r="N17" s="231">
        <f t="shared" si="2"/>
        <v>742384.67839999986</v>
      </c>
      <c r="O17" s="231">
        <f t="shared" si="2"/>
        <v>812821.21407999995</v>
      </c>
      <c r="P17" s="232">
        <f>SUM(D17:O17)</f>
        <v>8031945.2844799999</v>
      </c>
      <c r="Q17" s="231">
        <f t="shared" si="2"/>
        <v>604800</v>
      </c>
      <c r="R17" s="231">
        <f t="shared" si="2"/>
        <v>985600</v>
      </c>
      <c r="S17" s="231">
        <f t="shared" si="2"/>
        <v>1232000</v>
      </c>
      <c r="T17" s="231">
        <f t="shared" si="2"/>
        <v>1637300</v>
      </c>
      <c r="U17" s="231">
        <f t="shared" si="2"/>
        <v>2004719.9999999998</v>
      </c>
      <c r="V17" s="231">
        <f t="shared" si="2"/>
        <v>2346427.9999999995</v>
      </c>
      <c r="W17" s="231">
        <f t="shared" si="2"/>
        <v>2662552.1999999997</v>
      </c>
      <c r="X17" s="231">
        <f t="shared" si="2"/>
        <v>3024303.0299999993</v>
      </c>
      <c r="Y17" s="231">
        <f t="shared" si="2"/>
        <v>3438434.8844999988</v>
      </c>
      <c r="Z17" s="231">
        <f t="shared" si="2"/>
        <v>3476821.7137249988</v>
      </c>
      <c r="AA17" s="231">
        <f t="shared" si="2"/>
        <v>2384007.6512500001</v>
      </c>
      <c r="AB17" s="231">
        <f t="shared" si="2"/>
        <v>1948368.0338125001</v>
      </c>
      <c r="AC17" s="232">
        <f>SUM(Q17:AB17)</f>
        <v>25745335.513287496</v>
      </c>
    </row>
    <row r="18" spans="1:29" ht="18.75">
      <c r="A18" s="210"/>
      <c r="B18" s="233" t="s">
        <v>149</v>
      </c>
      <c r="C18" s="233" t="s">
        <v>150</v>
      </c>
      <c r="D18" s="234">
        <f>$D$12*D7</f>
        <v>127890</v>
      </c>
      <c r="E18" s="234">
        <f t="shared" ref="E18:AB18" si="3">$D$12*E7</f>
        <v>236376</v>
      </c>
      <c r="F18" s="234">
        <f t="shared" si="3"/>
        <v>304290</v>
      </c>
      <c r="G18" s="234">
        <f t="shared" si="3"/>
        <v>395136</v>
      </c>
      <c r="H18" s="234">
        <f t="shared" si="3"/>
        <v>447174</v>
      </c>
      <c r="I18" s="234">
        <f t="shared" si="3"/>
        <v>687960</v>
      </c>
      <c r="J18" s="234">
        <f t="shared" si="3"/>
        <v>716184</v>
      </c>
      <c r="K18" s="234">
        <f t="shared" si="3"/>
        <v>815850</v>
      </c>
      <c r="L18" s="234">
        <f t="shared" si="3"/>
        <v>668556</v>
      </c>
      <c r="M18" s="234">
        <f t="shared" si="3"/>
        <v>599760</v>
      </c>
      <c r="N18" s="234">
        <f t="shared" si="3"/>
        <v>490392</v>
      </c>
      <c r="O18" s="234">
        <f t="shared" si="3"/>
        <v>542430</v>
      </c>
      <c r="P18" s="234"/>
      <c r="Q18" s="234">
        <f t="shared" si="3"/>
        <v>352800</v>
      </c>
      <c r="R18" s="234">
        <f t="shared" si="3"/>
        <v>705600</v>
      </c>
      <c r="S18" s="234">
        <f t="shared" si="3"/>
        <v>882000</v>
      </c>
      <c r="T18" s="234">
        <f t="shared" si="3"/>
        <v>1234800</v>
      </c>
      <c r="U18" s="234">
        <f t="shared" si="3"/>
        <v>1728719.9999999998</v>
      </c>
      <c r="V18" s="234">
        <f t="shared" si="3"/>
        <v>1988027.9999999995</v>
      </c>
      <c r="W18" s="234">
        <f t="shared" si="3"/>
        <v>2286232.1999999997</v>
      </c>
      <c r="X18" s="234">
        <f t="shared" si="3"/>
        <v>2629167.0299999993</v>
      </c>
      <c r="Y18" s="234">
        <f t="shared" si="3"/>
        <v>3023542.0844999989</v>
      </c>
      <c r="Z18" s="234">
        <f t="shared" si="3"/>
        <v>3174719.1887249989</v>
      </c>
      <c r="AA18" s="234">
        <f t="shared" si="3"/>
        <v>2116800</v>
      </c>
      <c r="AB18" s="234">
        <f t="shared" si="3"/>
        <v>1675800</v>
      </c>
      <c r="AC18" s="236"/>
    </row>
    <row r="19" spans="1:29" ht="18.75">
      <c r="A19" s="210"/>
      <c r="B19" s="233" t="s">
        <v>151</v>
      </c>
      <c r="C19" s="233" t="s">
        <v>152</v>
      </c>
      <c r="D19" s="234">
        <f>$D$13*D8</f>
        <v>16000</v>
      </c>
      <c r="E19" s="234">
        <f t="shared" ref="E19:AB19" si="4">$D$13*E8</f>
        <v>36000</v>
      </c>
      <c r="F19" s="234">
        <f t="shared" si="4"/>
        <v>48000</v>
      </c>
      <c r="G19" s="234">
        <f t="shared" si="4"/>
        <v>57600</v>
      </c>
      <c r="H19" s="234">
        <f t="shared" si="4"/>
        <v>64000</v>
      </c>
      <c r="I19" s="234">
        <f t="shared" si="4"/>
        <v>96000</v>
      </c>
      <c r="J19" s="234">
        <f t="shared" si="4"/>
        <v>104000</v>
      </c>
      <c r="K19" s="234">
        <f t="shared" si="4"/>
        <v>96000</v>
      </c>
      <c r="L19" s="234">
        <f t="shared" si="4"/>
        <v>120000</v>
      </c>
      <c r="M19" s="234">
        <f t="shared" si="4"/>
        <v>120000</v>
      </c>
      <c r="N19" s="234">
        <f t="shared" si="4"/>
        <v>80000</v>
      </c>
      <c r="O19" s="234">
        <f t="shared" si="4"/>
        <v>64000</v>
      </c>
      <c r="P19" s="234"/>
      <c r="Q19" s="234">
        <f t="shared" si="4"/>
        <v>72000</v>
      </c>
      <c r="R19" s="234">
        <f t="shared" si="4"/>
        <v>80000</v>
      </c>
      <c r="S19" s="234">
        <f t="shared" si="4"/>
        <v>100000</v>
      </c>
      <c r="T19" s="234">
        <f t="shared" si="4"/>
        <v>140000</v>
      </c>
      <c r="U19" s="234">
        <f t="shared" si="4"/>
        <v>195999.99999999997</v>
      </c>
      <c r="V19" s="234">
        <f t="shared" si="4"/>
        <v>274399.99999999994</v>
      </c>
      <c r="W19" s="234">
        <f t="shared" si="4"/>
        <v>288120</v>
      </c>
      <c r="X19" s="234">
        <f t="shared" si="4"/>
        <v>302526</v>
      </c>
      <c r="Y19" s="234">
        <f t="shared" si="4"/>
        <v>317652.3</v>
      </c>
      <c r="Z19" s="234">
        <f t="shared" si="4"/>
        <v>200000</v>
      </c>
      <c r="AA19" s="234">
        <f t="shared" si="4"/>
        <v>160000</v>
      </c>
      <c r="AB19" s="234">
        <f t="shared" si="4"/>
        <v>160000</v>
      </c>
      <c r="AC19" s="236"/>
    </row>
    <row r="20" spans="1:29" ht="18.75">
      <c r="A20" s="210"/>
      <c r="B20" s="233" t="s">
        <v>153</v>
      </c>
      <c r="C20" s="233" t="s">
        <v>198</v>
      </c>
      <c r="D20" s="234">
        <f>$D$14*D9</f>
        <v>8000</v>
      </c>
      <c r="E20" s="234">
        <f t="shared" ref="E20:AB20" si="5">$D$14*E9</f>
        <v>32000</v>
      </c>
      <c r="F20" s="234">
        <f t="shared" si="5"/>
        <v>60000</v>
      </c>
      <c r="G20" s="234">
        <f t="shared" si="5"/>
        <v>48000</v>
      </c>
      <c r="H20" s="234">
        <f t="shared" si="5"/>
        <v>57599.999999999993</v>
      </c>
      <c r="I20" s="234">
        <f t="shared" si="5"/>
        <v>69119.999999999985</v>
      </c>
      <c r="J20" s="234">
        <f t="shared" si="5"/>
        <v>82943.999999999985</v>
      </c>
      <c r="K20" s="234">
        <f t="shared" si="5"/>
        <v>99532.799999999974</v>
      </c>
      <c r="L20" s="234">
        <f t="shared" si="5"/>
        <v>119439.35999999997</v>
      </c>
      <c r="M20" s="234">
        <f t="shared" si="5"/>
        <v>143327.23199999996</v>
      </c>
      <c r="N20" s="234">
        <f t="shared" si="5"/>
        <v>171992.67839999992</v>
      </c>
      <c r="O20" s="234">
        <f t="shared" si="5"/>
        <v>206391.21407999992</v>
      </c>
      <c r="P20" s="234"/>
      <c r="Q20" s="234">
        <f t="shared" si="5"/>
        <v>180000</v>
      </c>
      <c r="R20" s="234">
        <f t="shared" si="5"/>
        <v>200000</v>
      </c>
      <c r="S20" s="234">
        <f t="shared" si="5"/>
        <v>250000</v>
      </c>
      <c r="T20" s="234">
        <f t="shared" si="5"/>
        <v>262500</v>
      </c>
      <c r="U20" s="234">
        <f t="shared" si="5"/>
        <v>80000</v>
      </c>
      <c r="V20" s="234">
        <f t="shared" si="5"/>
        <v>84000</v>
      </c>
      <c r="W20" s="234">
        <f t="shared" si="5"/>
        <v>88200</v>
      </c>
      <c r="X20" s="234">
        <f t="shared" si="5"/>
        <v>92610.000000000015</v>
      </c>
      <c r="Y20" s="234">
        <f t="shared" si="5"/>
        <v>97240.500000000015</v>
      </c>
      <c r="Z20" s="234">
        <f t="shared" si="5"/>
        <v>102102.52500000001</v>
      </c>
      <c r="AA20" s="234">
        <f t="shared" si="5"/>
        <v>107207.65125000002</v>
      </c>
      <c r="AB20" s="234">
        <f t="shared" si="5"/>
        <v>112568.03381250003</v>
      </c>
      <c r="AC20" s="236"/>
    </row>
    <row r="21" spans="1:29" ht="18.75">
      <c r="A21" s="210"/>
      <c r="B21" s="233"/>
      <c r="C21" s="233"/>
      <c r="D21" s="234" t="s">
        <v>216</v>
      </c>
      <c r="E21" s="234" t="s">
        <v>216</v>
      </c>
      <c r="F21" s="234" t="s">
        <v>216</v>
      </c>
      <c r="G21" s="234" t="s">
        <v>216</v>
      </c>
      <c r="H21" s="234" t="s">
        <v>216</v>
      </c>
      <c r="I21" s="234" t="s">
        <v>216</v>
      </c>
      <c r="J21" s="234" t="s">
        <v>216</v>
      </c>
      <c r="K21" s="234" t="s">
        <v>216</v>
      </c>
      <c r="L21" s="234" t="s">
        <v>216</v>
      </c>
      <c r="M21" s="234" t="s">
        <v>216</v>
      </c>
      <c r="N21" s="234" t="s">
        <v>216</v>
      </c>
      <c r="O21" s="234" t="s">
        <v>216</v>
      </c>
      <c r="P21" s="234" t="s">
        <v>216</v>
      </c>
      <c r="Q21" s="234" t="s">
        <v>216</v>
      </c>
      <c r="R21" s="234" t="s">
        <v>216</v>
      </c>
      <c r="S21" s="234" t="s">
        <v>216</v>
      </c>
      <c r="T21" s="234" t="s">
        <v>216</v>
      </c>
      <c r="U21" s="234" t="s">
        <v>216</v>
      </c>
      <c r="V21" s="234" t="s">
        <v>216</v>
      </c>
      <c r="W21" s="234" t="s">
        <v>216</v>
      </c>
      <c r="X21" s="234" t="s">
        <v>216</v>
      </c>
      <c r="Y21" s="234" t="s">
        <v>216</v>
      </c>
      <c r="Z21" s="234" t="s">
        <v>216</v>
      </c>
      <c r="AA21" s="234" t="s">
        <v>216</v>
      </c>
      <c r="AB21" s="234" t="s">
        <v>216</v>
      </c>
      <c r="AC21" s="236"/>
    </row>
    <row r="22" spans="1:29" ht="18.75">
      <c r="A22" s="210"/>
      <c r="B22" s="233"/>
      <c r="C22" s="233"/>
      <c r="D22" s="234" t="s">
        <v>216</v>
      </c>
      <c r="E22" s="234" t="s">
        <v>216</v>
      </c>
      <c r="F22" s="234" t="s">
        <v>216</v>
      </c>
      <c r="G22" s="234" t="s">
        <v>216</v>
      </c>
      <c r="H22" s="234" t="s">
        <v>216</v>
      </c>
      <c r="I22" s="234" t="s">
        <v>216</v>
      </c>
      <c r="J22" s="234" t="s">
        <v>216</v>
      </c>
      <c r="K22" s="234" t="s">
        <v>216</v>
      </c>
      <c r="L22" s="234" t="s">
        <v>216</v>
      </c>
      <c r="M22" s="234" t="s">
        <v>216</v>
      </c>
      <c r="N22" s="234" t="s">
        <v>216</v>
      </c>
      <c r="O22" s="234" t="s">
        <v>216</v>
      </c>
      <c r="P22" s="234" t="s">
        <v>216</v>
      </c>
      <c r="Q22" s="234" t="s">
        <v>216</v>
      </c>
      <c r="R22" s="234" t="s">
        <v>216</v>
      </c>
      <c r="S22" s="234" t="s">
        <v>216</v>
      </c>
      <c r="T22" s="234" t="s">
        <v>216</v>
      </c>
      <c r="U22" s="234" t="s">
        <v>216</v>
      </c>
      <c r="V22" s="234" t="s">
        <v>216</v>
      </c>
      <c r="W22" s="234" t="s">
        <v>216</v>
      </c>
      <c r="X22" s="234" t="s">
        <v>216</v>
      </c>
      <c r="Y22" s="234" t="s">
        <v>216</v>
      </c>
      <c r="Z22" s="234" t="s">
        <v>216</v>
      </c>
      <c r="AA22" s="234" t="s">
        <v>216</v>
      </c>
      <c r="AB22" s="234" t="s">
        <v>216</v>
      </c>
      <c r="AC22" s="236"/>
    </row>
    <row r="23" spans="1:29" ht="18.75">
      <c r="A23" s="210"/>
      <c r="B23" s="220" t="s">
        <v>154</v>
      </c>
      <c r="C23" s="221"/>
      <c r="D23" s="237">
        <f>SUM(D24:D26)</f>
        <v>23583.5</v>
      </c>
      <c r="E23" s="238">
        <f t="shared" ref="E23:AB23" si="6">SUM(E24:E26)</f>
        <v>47456.4</v>
      </c>
      <c r="F23" s="238">
        <f t="shared" si="6"/>
        <v>64243.5</v>
      </c>
      <c r="G23" s="238">
        <f t="shared" si="6"/>
        <v>77990.399999999994</v>
      </c>
      <c r="H23" s="238">
        <f t="shared" si="6"/>
        <v>88516.099999999991</v>
      </c>
      <c r="I23" s="238">
        <f t="shared" si="6"/>
        <v>132762</v>
      </c>
      <c r="J23" s="238">
        <f t="shared" si="6"/>
        <v>140669.19999999998</v>
      </c>
      <c r="K23" s="238">
        <f t="shared" si="6"/>
        <v>156507.41999999998</v>
      </c>
      <c r="L23" s="238">
        <f t="shared" si="6"/>
        <v>142199.304</v>
      </c>
      <c r="M23" s="238">
        <f t="shared" si="6"/>
        <v>135463.08479999998</v>
      </c>
      <c r="N23" s="238">
        <f t="shared" si="6"/>
        <v>115357.70176</v>
      </c>
      <c r="O23" s="238">
        <f t="shared" si="6"/>
        <v>125123.18211199998</v>
      </c>
      <c r="P23" s="232">
        <f>SUM(D23:O23)</f>
        <v>1249871.7926719999</v>
      </c>
      <c r="Q23" s="238">
        <f t="shared" si="6"/>
        <v>94320</v>
      </c>
      <c r="R23" s="238">
        <f t="shared" si="6"/>
        <v>151840</v>
      </c>
      <c r="S23" s="238">
        <f t="shared" si="6"/>
        <v>189800</v>
      </c>
      <c r="T23" s="238">
        <f t="shared" si="6"/>
        <v>252595</v>
      </c>
      <c r="U23" s="238">
        <f t="shared" si="6"/>
        <v>310507.99999999994</v>
      </c>
      <c r="V23" s="238">
        <f t="shared" si="6"/>
        <v>365684.1999999999</v>
      </c>
      <c r="W23" s="238">
        <f t="shared" si="6"/>
        <v>413788.82999999996</v>
      </c>
      <c r="X23" s="238">
        <f t="shared" si="6"/>
        <v>468771.75449999992</v>
      </c>
      <c r="Y23" s="238">
        <f t="shared" si="6"/>
        <v>531647.84767499985</v>
      </c>
      <c r="Z23" s="238">
        <f t="shared" si="6"/>
        <v>531523.25705874979</v>
      </c>
      <c r="AA23" s="238">
        <f t="shared" si="6"/>
        <v>365601.14768749999</v>
      </c>
      <c r="AB23" s="238">
        <f t="shared" si="6"/>
        <v>300255.20507187501</v>
      </c>
      <c r="AC23" s="232">
        <f>SUM(Q23:AB23)</f>
        <v>3976335.2419931241</v>
      </c>
    </row>
    <row r="24" spans="1:29" ht="18.75">
      <c r="A24" s="210"/>
      <c r="B24" s="233" t="s">
        <v>155</v>
      </c>
      <c r="C24" s="233" t="s">
        <v>150</v>
      </c>
      <c r="D24" s="234">
        <f>D18*0.15</f>
        <v>19183.5</v>
      </c>
      <c r="E24" s="235">
        <f t="shared" ref="E24:O24" si="7">E18*0.15</f>
        <v>35456.400000000001</v>
      </c>
      <c r="F24" s="234">
        <f t="shared" si="7"/>
        <v>45643.5</v>
      </c>
      <c r="G24" s="235">
        <f t="shared" si="7"/>
        <v>59270.399999999994</v>
      </c>
      <c r="H24" s="235">
        <f t="shared" si="7"/>
        <v>67076.099999999991</v>
      </c>
      <c r="I24" s="235">
        <f t="shared" si="7"/>
        <v>103194</v>
      </c>
      <c r="J24" s="235">
        <f t="shared" si="7"/>
        <v>107427.59999999999</v>
      </c>
      <c r="K24" s="235">
        <f t="shared" si="7"/>
        <v>122377.5</v>
      </c>
      <c r="L24" s="235">
        <f t="shared" si="7"/>
        <v>100283.4</v>
      </c>
      <c r="M24" s="235">
        <f t="shared" si="7"/>
        <v>89964</v>
      </c>
      <c r="N24" s="235">
        <f t="shared" si="7"/>
        <v>73558.8</v>
      </c>
      <c r="O24" s="235">
        <f t="shared" si="7"/>
        <v>81364.5</v>
      </c>
      <c r="P24" s="236"/>
      <c r="Q24" s="235">
        <f>Q18*0.15</f>
        <v>52920</v>
      </c>
      <c r="R24" s="235">
        <f t="shared" ref="R24:AB24" si="8">R18*0.15</f>
        <v>105840</v>
      </c>
      <c r="S24" s="235">
        <f t="shared" si="8"/>
        <v>132300</v>
      </c>
      <c r="T24" s="235">
        <f t="shared" si="8"/>
        <v>185220</v>
      </c>
      <c r="U24" s="235">
        <f t="shared" si="8"/>
        <v>259307.99999999994</v>
      </c>
      <c r="V24" s="235">
        <f t="shared" si="8"/>
        <v>298204.1999999999</v>
      </c>
      <c r="W24" s="235">
        <f t="shared" si="8"/>
        <v>342934.82999999996</v>
      </c>
      <c r="X24" s="235">
        <f t="shared" si="8"/>
        <v>394375.05449999991</v>
      </c>
      <c r="Y24" s="235">
        <f t="shared" si="8"/>
        <v>453531.31267499982</v>
      </c>
      <c r="Z24" s="235">
        <f t="shared" si="8"/>
        <v>476207.87830874982</v>
      </c>
      <c r="AA24" s="235">
        <f t="shared" si="8"/>
        <v>317520</v>
      </c>
      <c r="AB24" s="235">
        <f t="shared" si="8"/>
        <v>251370</v>
      </c>
      <c r="AC24" s="236"/>
    </row>
    <row r="25" spans="1:29" ht="18.75">
      <c r="A25" s="210"/>
      <c r="B25" s="233" t="s">
        <v>156</v>
      </c>
      <c r="C25" s="233" t="s">
        <v>152</v>
      </c>
      <c r="D25" s="234">
        <f>D19*0.2</f>
        <v>3200</v>
      </c>
      <c r="E25" s="235">
        <f t="shared" ref="E25:O25" si="9">E19*0.2</f>
        <v>7200</v>
      </c>
      <c r="F25" s="234">
        <f t="shared" si="9"/>
        <v>9600</v>
      </c>
      <c r="G25" s="235">
        <f t="shared" si="9"/>
        <v>11520</v>
      </c>
      <c r="H25" s="235">
        <f t="shared" si="9"/>
        <v>12800</v>
      </c>
      <c r="I25" s="235">
        <f t="shared" si="9"/>
        <v>19200</v>
      </c>
      <c r="J25" s="235">
        <f t="shared" si="9"/>
        <v>20800</v>
      </c>
      <c r="K25" s="235">
        <f t="shared" si="9"/>
        <v>19200</v>
      </c>
      <c r="L25" s="235">
        <f t="shared" si="9"/>
        <v>24000</v>
      </c>
      <c r="M25" s="235">
        <f t="shared" si="9"/>
        <v>24000</v>
      </c>
      <c r="N25" s="235">
        <f>N19*0.2</f>
        <v>16000</v>
      </c>
      <c r="O25" s="235">
        <f t="shared" si="9"/>
        <v>12800</v>
      </c>
      <c r="P25" s="236"/>
      <c r="Q25" s="235">
        <f>Q19*0.2</f>
        <v>14400</v>
      </c>
      <c r="R25" s="235">
        <f t="shared" ref="R25:AB25" si="10">R19*0.2</f>
        <v>16000</v>
      </c>
      <c r="S25" s="235">
        <f t="shared" si="10"/>
        <v>20000</v>
      </c>
      <c r="T25" s="235">
        <f t="shared" si="10"/>
        <v>28000</v>
      </c>
      <c r="U25" s="235">
        <f t="shared" si="10"/>
        <v>39199.999999999993</v>
      </c>
      <c r="V25" s="235">
        <f t="shared" si="10"/>
        <v>54879.999999999993</v>
      </c>
      <c r="W25" s="235">
        <f t="shared" si="10"/>
        <v>57624</v>
      </c>
      <c r="X25" s="235">
        <f t="shared" si="10"/>
        <v>60505.200000000004</v>
      </c>
      <c r="Y25" s="235">
        <f t="shared" si="10"/>
        <v>63530.46</v>
      </c>
      <c r="Z25" s="235">
        <f t="shared" si="10"/>
        <v>40000</v>
      </c>
      <c r="AA25" s="235">
        <f t="shared" si="10"/>
        <v>32000</v>
      </c>
      <c r="AB25" s="235">
        <f t="shared" si="10"/>
        <v>32000</v>
      </c>
      <c r="AC25" s="236"/>
    </row>
    <row r="26" spans="1:29" ht="18.75">
      <c r="A26" s="210"/>
      <c r="B26" s="233" t="s">
        <v>157</v>
      </c>
      <c r="C26" s="233" t="s">
        <v>158</v>
      </c>
      <c r="D26" s="234">
        <f>D20*0.15</f>
        <v>1200</v>
      </c>
      <c r="E26" s="235">
        <f t="shared" ref="E26:O26" si="11">E20*0.15</f>
        <v>4800</v>
      </c>
      <c r="F26" s="234">
        <f t="shared" si="11"/>
        <v>9000</v>
      </c>
      <c r="G26" s="235">
        <f t="shared" si="11"/>
        <v>7200</v>
      </c>
      <c r="H26" s="235">
        <f t="shared" si="11"/>
        <v>8639.9999999999982</v>
      </c>
      <c r="I26" s="235">
        <f t="shared" si="11"/>
        <v>10367.999999999998</v>
      </c>
      <c r="J26" s="235">
        <f t="shared" si="11"/>
        <v>12441.599999999997</v>
      </c>
      <c r="K26" s="235">
        <f>K20*0.15</f>
        <v>14929.919999999995</v>
      </c>
      <c r="L26" s="235">
        <f t="shared" si="11"/>
        <v>17915.903999999995</v>
      </c>
      <c r="M26" s="235">
        <f t="shared" si="11"/>
        <v>21499.084799999993</v>
      </c>
      <c r="N26" s="235">
        <f t="shared" si="11"/>
        <v>25798.901759999986</v>
      </c>
      <c r="O26" s="235">
        <f t="shared" si="11"/>
        <v>30958.682111999988</v>
      </c>
      <c r="P26" s="236"/>
      <c r="Q26" s="235">
        <f>Q20*0.15</f>
        <v>27000</v>
      </c>
      <c r="R26" s="235">
        <f t="shared" ref="R26:AA26" si="12">R20*0.15</f>
        <v>30000</v>
      </c>
      <c r="S26" s="235">
        <f t="shared" si="12"/>
        <v>37500</v>
      </c>
      <c r="T26" s="235">
        <f t="shared" si="12"/>
        <v>39375</v>
      </c>
      <c r="U26" s="235">
        <f t="shared" si="12"/>
        <v>12000</v>
      </c>
      <c r="V26" s="235">
        <f t="shared" si="12"/>
        <v>12600</v>
      </c>
      <c r="W26" s="235">
        <f t="shared" si="12"/>
        <v>13230</v>
      </c>
      <c r="X26" s="235">
        <f t="shared" si="12"/>
        <v>13891.500000000002</v>
      </c>
      <c r="Y26" s="235">
        <f t="shared" si="12"/>
        <v>14586.075000000003</v>
      </c>
      <c r="Z26" s="235">
        <f t="shared" si="12"/>
        <v>15315.37875</v>
      </c>
      <c r="AA26" s="235">
        <f t="shared" si="12"/>
        <v>16081.147687500003</v>
      </c>
      <c r="AB26" s="235">
        <f>AB20*0.15</f>
        <v>16885.205071875003</v>
      </c>
      <c r="AC26" s="236"/>
    </row>
    <row r="27" spans="1:29" ht="18.75">
      <c r="A27" s="210"/>
      <c r="B27" s="233"/>
      <c r="C27" s="233"/>
      <c r="D27" s="234" t="s">
        <v>216</v>
      </c>
      <c r="E27" s="234" t="s">
        <v>216</v>
      </c>
      <c r="F27" s="234" t="s">
        <v>216</v>
      </c>
      <c r="G27" s="234" t="s">
        <v>216</v>
      </c>
      <c r="H27" s="234" t="s">
        <v>216</v>
      </c>
      <c r="I27" s="234" t="s">
        <v>216</v>
      </c>
      <c r="J27" s="234" t="s">
        <v>216</v>
      </c>
      <c r="K27" s="234" t="s">
        <v>216</v>
      </c>
      <c r="L27" s="234" t="s">
        <v>216</v>
      </c>
      <c r="M27" s="234" t="s">
        <v>216</v>
      </c>
      <c r="N27" s="234" t="s">
        <v>216</v>
      </c>
      <c r="O27" s="234" t="s">
        <v>216</v>
      </c>
      <c r="P27" s="234" t="s">
        <v>216</v>
      </c>
      <c r="Q27" s="234" t="s">
        <v>216</v>
      </c>
      <c r="R27" s="234" t="s">
        <v>216</v>
      </c>
      <c r="S27" s="234" t="s">
        <v>216</v>
      </c>
      <c r="T27" s="234" t="s">
        <v>216</v>
      </c>
      <c r="U27" s="234" t="s">
        <v>216</v>
      </c>
      <c r="V27" s="234" t="s">
        <v>216</v>
      </c>
      <c r="W27" s="234" t="s">
        <v>216</v>
      </c>
      <c r="X27" s="234" t="s">
        <v>216</v>
      </c>
      <c r="Y27" s="234" t="s">
        <v>216</v>
      </c>
      <c r="Z27" s="234" t="s">
        <v>216</v>
      </c>
      <c r="AA27" s="234" t="s">
        <v>216</v>
      </c>
      <c r="AB27" s="234" t="s">
        <v>216</v>
      </c>
      <c r="AC27" s="236"/>
    </row>
    <row r="28" spans="1:29" ht="18.75">
      <c r="A28" s="210"/>
      <c r="B28" s="233"/>
      <c r="C28" s="233"/>
      <c r="D28" s="234" t="s">
        <v>216</v>
      </c>
      <c r="E28" s="234" t="s">
        <v>216</v>
      </c>
      <c r="F28" s="234" t="s">
        <v>216</v>
      </c>
      <c r="G28" s="234" t="s">
        <v>216</v>
      </c>
      <c r="H28" s="234" t="s">
        <v>216</v>
      </c>
      <c r="I28" s="234" t="s">
        <v>216</v>
      </c>
      <c r="J28" s="234" t="s">
        <v>216</v>
      </c>
      <c r="K28" s="234" t="s">
        <v>216</v>
      </c>
      <c r="L28" s="234" t="s">
        <v>216</v>
      </c>
      <c r="M28" s="234" t="s">
        <v>216</v>
      </c>
      <c r="N28" s="234" t="s">
        <v>216</v>
      </c>
      <c r="O28" s="234" t="s">
        <v>216</v>
      </c>
      <c r="P28" s="234" t="s">
        <v>216</v>
      </c>
      <c r="Q28" s="234" t="s">
        <v>216</v>
      </c>
      <c r="R28" s="234" t="s">
        <v>216</v>
      </c>
      <c r="S28" s="234" t="s">
        <v>216</v>
      </c>
      <c r="T28" s="234" t="s">
        <v>216</v>
      </c>
      <c r="U28" s="234" t="s">
        <v>216</v>
      </c>
      <c r="V28" s="234" t="s">
        <v>216</v>
      </c>
      <c r="W28" s="234" t="s">
        <v>216</v>
      </c>
      <c r="X28" s="234" t="s">
        <v>216</v>
      </c>
      <c r="Y28" s="234" t="s">
        <v>216</v>
      </c>
      <c r="Z28" s="234" t="s">
        <v>216</v>
      </c>
      <c r="AA28" s="234" t="s">
        <v>216</v>
      </c>
      <c r="AB28" s="234" t="s">
        <v>216</v>
      </c>
      <c r="AC28" s="236"/>
    </row>
    <row r="29" spans="1:29" ht="18.75">
      <c r="A29" s="210"/>
      <c r="B29" s="233"/>
      <c r="C29" s="233"/>
      <c r="D29" s="234" t="s">
        <v>216</v>
      </c>
      <c r="E29" s="234" t="s">
        <v>216</v>
      </c>
      <c r="F29" s="234" t="s">
        <v>216</v>
      </c>
      <c r="G29" s="234" t="s">
        <v>216</v>
      </c>
      <c r="H29" s="234" t="s">
        <v>216</v>
      </c>
      <c r="I29" s="234" t="s">
        <v>216</v>
      </c>
      <c r="J29" s="234" t="s">
        <v>216</v>
      </c>
      <c r="K29" s="234" t="s">
        <v>216</v>
      </c>
      <c r="L29" s="234" t="s">
        <v>216</v>
      </c>
      <c r="M29" s="234" t="s">
        <v>216</v>
      </c>
      <c r="N29" s="234" t="s">
        <v>216</v>
      </c>
      <c r="O29" s="234" t="s">
        <v>216</v>
      </c>
      <c r="P29" s="234" t="s">
        <v>216</v>
      </c>
      <c r="Q29" s="234" t="s">
        <v>216</v>
      </c>
      <c r="R29" s="234" t="s">
        <v>216</v>
      </c>
      <c r="S29" s="234" t="s">
        <v>216</v>
      </c>
      <c r="T29" s="234" t="s">
        <v>216</v>
      </c>
      <c r="U29" s="234" t="s">
        <v>216</v>
      </c>
      <c r="V29" s="234" t="s">
        <v>216</v>
      </c>
      <c r="W29" s="234" t="s">
        <v>216</v>
      </c>
      <c r="X29" s="234" t="s">
        <v>216</v>
      </c>
      <c r="Y29" s="234" t="s">
        <v>216</v>
      </c>
      <c r="Z29" s="234" t="s">
        <v>216</v>
      </c>
      <c r="AA29" s="234" t="s">
        <v>216</v>
      </c>
      <c r="AB29" s="234" t="s">
        <v>216</v>
      </c>
      <c r="AC29" s="236"/>
    </row>
    <row r="30" spans="1:29" ht="18.75">
      <c r="A30" s="210">
        <v>2</v>
      </c>
      <c r="B30" s="220" t="s">
        <v>159</v>
      </c>
      <c r="C30" s="221"/>
      <c r="D30" s="237">
        <f>SUM(D34:D35,D32)</f>
        <v>10632.3</v>
      </c>
      <c r="E30" s="238">
        <f t="shared" ref="E30:AB30" si="13">SUM(E34:E35,E32)</f>
        <v>21306.32</v>
      </c>
      <c r="F30" s="238">
        <f t="shared" si="13"/>
        <v>28860.299999999996</v>
      </c>
      <c r="G30" s="238">
        <f t="shared" si="13"/>
        <v>35051.519999999997</v>
      </c>
      <c r="H30" s="238">
        <f t="shared" si="13"/>
        <v>39814.18</v>
      </c>
      <c r="I30" s="238">
        <f t="shared" si="13"/>
        <v>59715.599999999991</v>
      </c>
      <c r="J30" s="238">
        <f t="shared" si="13"/>
        <v>63218.960000000006</v>
      </c>
      <c r="K30" s="238">
        <f t="shared" si="13"/>
        <v>70796.796000000002</v>
      </c>
      <c r="L30" s="238">
        <f t="shared" si="13"/>
        <v>63559.675199999998</v>
      </c>
      <c r="M30" s="238">
        <f t="shared" si="13"/>
        <v>60416.106240000001</v>
      </c>
      <c r="N30" s="238">
        <f t="shared" si="13"/>
        <v>51966.927487999987</v>
      </c>
      <c r="O30" s="238">
        <f t="shared" si="13"/>
        <v>56897.484985599993</v>
      </c>
      <c r="P30" s="232">
        <f>SUM(D30:O30)</f>
        <v>562236.16991359997</v>
      </c>
      <c r="Q30" s="238">
        <f t="shared" si="13"/>
        <v>42336</v>
      </c>
      <c r="R30" s="238">
        <f t="shared" si="13"/>
        <v>68992</v>
      </c>
      <c r="S30" s="238">
        <f t="shared" si="13"/>
        <v>86240</v>
      </c>
      <c r="T30" s="238">
        <f t="shared" si="13"/>
        <v>114611</v>
      </c>
      <c r="U30" s="238">
        <f t="shared" si="13"/>
        <v>140330.39999999997</v>
      </c>
      <c r="V30" s="238">
        <f t="shared" si="13"/>
        <v>108857.11999999998</v>
      </c>
      <c r="W30" s="238">
        <f t="shared" si="13"/>
        <v>121502.08799999999</v>
      </c>
      <c r="X30" s="238">
        <f t="shared" si="13"/>
        <v>150972.12119999999</v>
      </c>
      <c r="Y30" s="238">
        <f t="shared" si="13"/>
        <v>167537.39537999994</v>
      </c>
      <c r="Z30" s="238">
        <f t="shared" si="13"/>
        <v>169072.86854899995</v>
      </c>
      <c r="AA30" s="238">
        <f t="shared" si="13"/>
        <v>125360.30605</v>
      </c>
      <c r="AB30" s="238">
        <f t="shared" si="13"/>
        <v>107934.72135250001</v>
      </c>
      <c r="AC30" s="232">
        <f>SUM(Q30:AB30)</f>
        <v>1403746.0205314998</v>
      </c>
    </row>
    <row r="31" spans="1:29" ht="18.75">
      <c r="A31" s="210"/>
      <c r="B31" s="239"/>
      <c r="C31" s="212" t="s">
        <v>160</v>
      </c>
      <c r="D31" s="234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6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6"/>
    </row>
    <row r="32" spans="1:29" ht="18.75">
      <c r="A32" s="210"/>
      <c r="B32" s="240" t="s">
        <v>161</v>
      </c>
      <c r="C32" s="233" t="s">
        <v>162</v>
      </c>
      <c r="D32" s="234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6"/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15000</v>
      </c>
      <c r="W32" s="235">
        <v>15000</v>
      </c>
      <c r="X32" s="235">
        <v>30000</v>
      </c>
      <c r="Y32" s="235">
        <v>30000</v>
      </c>
      <c r="Z32" s="235">
        <v>30000</v>
      </c>
      <c r="AA32" s="235">
        <v>30000</v>
      </c>
      <c r="AB32" s="235">
        <v>30000</v>
      </c>
      <c r="AC32" s="236"/>
    </row>
    <row r="33" spans="1:29" ht="18.75">
      <c r="A33" s="210"/>
      <c r="B33" s="233"/>
      <c r="C33" s="233" t="s">
        <v>163</v>
      </c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6"/>
    </row>
    <row r="34" spans="1:29" ht="18.75">
      <c r="A34" s="210"/>
      <c r="B34" s="240" t="s">
        <v>164</v>
      </c>
      <c r="C34" s="233" t="s">
        <v>165</v>
      </c>
      <c r="D34" s="234">
        <f>D17*0.04</f>
        <v>6075.6</v>
      </c>
      <c r="E34" s="235">
        <f t="shared" ref="E34:AB34" si="14">E17*0.04</f>
        <v>12175.04</v>
      </c>
      <c r="F34" s="235">
        <f t="shared" ref="F34:K34" si="15">F17*0.04</f>
        <v>16491.599999999999</v>
      </c>
      <c r="G34" s="235">
        <f t="shared" si="15"/>
        <v>20029.439999999999</v>
      </c>
      <c r="H34" s="235">
        <f t="shared" si="15"/>
        <v>22750.959999999999</v>
      </c>
      <c r="I34" s="235">
        <f t="shared" si="15"/>
        <v>34123.199999999997</v>
      </c>
      <c r="J34" s="235">
        <f t="shared" si="15"/>
        <v>36125.120000000003</v>
      </c>
      <c r="K34" s="235">
        <f t="shared" si="15"/>
        <v>40455.311999999998</v>
      </c>
      <c r="L34" s="235">
        <f t="shared" si="14"/>
        <v>36319.814400000003</v>
      </c>
      <c r="M34" s="235">
        <f t="shared" si="14"/>
        <v>34523.489280000002</v>
      </c>
      <c r="N34" s="235">
        <f t="shared" si="14"/>
        <v>29695.387135999994</v>
      </c>
      <c r="O34" s="235">
        <f t="shared" si="14"/>
        <v>32512.848563199997</v>
      </c>
      <c r="P34" s="236"/>
      <c r="Q34" s="235">
        <f t="shared" si="14"/>
        <v>24192</v>
      </c>
      <c r="R34" s="235">
        <f t="shared" si="14"/>
        <v>39424</v>
      </c>
      <c r="S34" s="235">
        <f t="shared" si="14"/>
        <v>49280</v>
      </c>
      <c r="T34" s="235">
        <f t="shared" si="14"/>
        <v>65492</v>
      </c>
      <c r="U34" s="235">
        <f t="shared" si="14"/>
        <v>80188.799999999988</v>
      </c>
      <c r="V34" s="235">
        <f t="shared" si="14"/>
        <v>93857.119999999981</v>
      </c>
      <c r="W34" s="235">
        <f t="shared" si="14"/>
        <v>106502.08799999999</v>
      </c>
      <c r="X34" s="235">
        <f t="shared" si="14"/>
        <v>120972.12119999998</v>
      </c>
      <c r="Y34" s="235">
        <f t="shared" si="14"/>
        <v>137537.39537999994</v>
      </c>
      <c r="Z34" s="235">
        <f t="shared" si="14"/>
        <v>139072.86854899995</v>
      </c>
      <c r="AA34" s="235">
        <f t="shared" si="14"/>
        <v>95360.306049999999</v>
      </c>
      <c r="AB34" s="235">
        <f t="shared" si="14"/>
        <v>77934.721352500012</v>
      </c>
      <c r="AC34" s="236"/>
    </row>
    <row r="35" spans="1:29" ht="18.75">
      <c r="A35" s="210"/>
      <c r="B35" s="239" t="s">
        <v>166</v>
      </c>
      <c r="C35" s="233" t="s">
        <v>167</v>
      </c>
      <c r="D35" s="234">
        <f t="shared" ref="D35:O35" si="16">D17*0.03</f>
        <v>4556.7</v>
      </c>
      <c r="E35" s="235">
        <f t="shared" si="16"/>
        <v>9131.2799999999988</v>
      </c>
      <c r="F35" s="235">
        <f t="shared" si="16"/>
        <v>12368.699999999999</v>
      </c>
      <c r="G35" s="235">
        <f t="shared" si="16"/>
        <v>15022.08</v>
      </c>
      <c r="H35" s="235">
        <f t="shared" si="16"/>
        <v>17063.22</v>
      </c>
      <c r="I35" s="235">
        <f t="shared" si="16"/>
        <v>25592.399999999998</v>
      </c>
      <c r="J35" s="235">
        <f t="shared" si="16"/>
        <v>27093.84</v>
      </c>
      <c r="K35" s="235">
        <f t="shared" si="16"/>
        <v>30341.483999999997</v>
      </c>
      <c r="L35" s="235">
        <f t="shared" si="16"/>
        <v>27239.860799999999</v>
      </c>
      <c r="M35" s="235">
        <f t="shared" si="16"/>
        <v>25892.616959999999</v>
      </c>
      <c r="N35" s="235">
        <f t="shared" si="16"/>
        <v>22271.540351999996</v>
      </c>
      <c r="O35" s="235">
        <f t="shared" si="16"/>
        <v>24384.636422399999</v>
      </c>
      <c r="P35" s="236"/>
      <c r="Q35" s="235">
        <f>Q17*0.03</f>
        <v>18144</v>
      </c>
      <c r="R35" s="235">
        <f>R17*0.03</f>
        <v>29568</v>
      </c>
      <c r="S35" s="235">
        <f>S17*0.03</f>
        <v>36960</v>
      </c>
      <c r="T35" s="235">
        <f>T17*0.03</f>
        <v>49119</v>
      </c>
      <c r="U35" s="235">
        <f>U17*0.03</f>
        <v>60141.599999999991</v>
      </c>
      <c r="V35" s="235">
        <v>0</v>
      </c>
      <c r="W35" s="235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  <c r="AC35" s="236"/>
    </row>
    <row r="36" spans="1:29" ht="18.75">
      <c r="A36" s="210">
        <v>3</v>
      </c>
      <c r="B36" s="220" t="s">
        <v>168</v>
      </c>
      <c r="C36" s="221"/>
      <c r="D36" s="237">
        <f>SUM(D38:D40,D42,D44:D46)</f>
        <v>16170</v>
      </c>
      <c r="E36" s="238">
        <f t="shared" ref="E36:AB36" si="17">SUM(E38:E40,E42,E44:E46)</f>
        <v>16170</v>
      </c>
      <c r="F36" s="238">
        <f t="shared" si="17"/>
        <v>16170</v>
      </c>
      <c r="G36" s="238">
        <f t="shared" si="17"/>
        <v>16170</v>
      </c>
      <c r="H36" s="238">
        <f t="shared" si="17"/>
        <v>16170</v>
      </c>
      <c r="I36" s="238">
        <f t="shared" si="17"/>
        <v>16170</v>
      </c>
      <c r="J36" s="238">
        <f t="shared" si="17"/>
        <v>16170</v>
      </c>
      <c r="K36" s="238">
        <f t="shared" si="17"/>
        <v>22170</v>
      </c>
      <c r="L36" s="238">
        <f t="shared" si="17"/>
        <v>22170</v>
      </c>
      <c r="M36" s="238">
        <f t="shared" si="17"/>
        <v>22170</v>
      </c>
      <c r="N36" s="238">
        <f t="shared" si="17"/>
        <v>22170</v>
      </c>
      <c r="O36" s="238">
        <f t="shared" si="17"/>
        <v>22170</v>
      </c>
      <c r="P36" s="232">
        <f>SUM(D36:O36)</f>
        <v>224040</v>
      </c>
      <c r="Q36" s="238">
        <f t="shared" si="17"/>
        <v>10170</v>
      </c>
      <c r="R36" s="238">
        <f t="shared" si="17"/>
        <v>10170</v>
      </c>
      <c r="S36" s="238">
        <f t="shared" si="17"/>
        <v>15170</v>
      </c>
      <c r="T36" s="238">
        <f t="shared" si="17"/>
        <v>25170</v>
      </c>
      <c r="U36" s="238">
        <f t="shared" si="17"/>
        <v>25170</v>
      </c>
      <c r="V36" s="238">
        <f t="shared" si="17"/>
        <v>32170</v>
      </c>
      <c r="W36" s="238">
        <f t="shared" si="17"/>
        <v>32170</v>
      </c>
      <c r="X36" s="238">
        <f t="shared" si="17"/>
        <v>27170</v>
      </c>
      <c r="Y36" s="238">
        <f t="shared" si="17"/>
        <v>27170</v>
      </c>
      <c r="Z36" s="238">
        <f t="shared" si="17"/>
        <v>27170</v>
      </c>
      <c r="AA36" s="238">
        <f t="shared" si="17"/>
        <v>27170</v>
      </c>
      <c r="AB36" s="238">
        <f t="shared" si="17"/>
        <v>27170</v>
      </c>
      <c r="AC36" s="232">
        <f>SUM(Q36:AB36)</f>
        <v>286040</v>
      </c>
    </row>
    <row r="37" spans="1:29" ht="18.75">
      <c r="A37" s="210"/>
      <c r="B37" s="239" t="s">
        <v>169</v>
      </c>
      <c r="C37" s="212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6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6"/>
    </row>
    <row r="38" spans="1:29" ht="18.75">
      <c r="A38" s="210"/>
      <c r="B38" s="233" t="s">
        <v>170</v>
      </c>
      <c r="C38" s="241" t="s">
        <v>171</v>
      </c>
      <c r="D38" s="234">
        <v>10000</v>
      </c>
      <c r="E38" s="235">
        <v>10000</v>
      </c>
      <c r="F38" s="234">
        <v>10000</v>
      </c>
      <c r="G38" s="235">
        <v>10000</v>
      </c>
      <c r="H38" s="235">
        <v>10000</v>
      </c>
      <c r="I38" s="235">
        <v>10000</v>
      </c>
      <c r="J38" s="235">
        <v>10000</v>
      </c>
      <c r="K38" s="235">
        <v>10000</v>
      </c>
      <c r="L38" s="235">
        <v>10000</v>
      </c>
      <c r="M38" s="235">
        <v>10000</v>
      </c>
      <c r="N38" s="235">
        <v>10000</v>
      </c>
      <c r="O38" s="235">
        <v>10000</v>
      </c>
      <c r="P38" s="236"/>
      <c r="Q38" s="235">
        <v>5000</v>
      </c>
      <c r="R38" s="235">
        <v>5000</v>
      </c>
      <c r="S38" s="235">
        <v>10000</v>
      </c>
      <c r="T38" s="235">
        <v>20000</v>
      </c>
      <c r="U38" s="235">
        <v>20000</v>
      </c>
      <c r="V38" s="235">
        <v>20000</v>
      </c>
      <c r="W38" s="235">
        <v>20000</v>
      </c>
      <c r="X38" s="235">
        <v>15000</v>
      </c>
      <c r="Y38" s="235">
        <v>15000</v>
      </c>
      <c r="Z38" s="235">
        <v>15000</v>
      </c>
      <c r="AA38" s="235">
        <v>15000</v>
      </c>
      <c r="AB38" s="235">
        <v>15000</v>
      </c>
      <c r="AC38" s="236"/>
    </row>
    <row r="39" spans="1:29" ht="18.75">
      <c r="A39" s="210"/>
      <c r="B39" s="233" t="s">
        <v>172</v>
      </c>
      <c r="C39" s="233" t="s">
        <v>173</v>
      </c>
      <c r="D39" s="234">
        <v>1000</v>
      </c>
      <c r="E39" s="235">
        <v>1000</v>
      </c>
      <c r="F39" s="234">
        <v>1000</v>
      </c>
      <c r="G39" s="235">
        <v>1000</v>
      </c>
      <c r="H39" s="235">
        <v>1000</v>
      </c>
      <c r="I39" s="235">
        <v>1000</v>
      </c>
      <c r="J39" s="235">
        <v>1000</v>
      </c>
      <c r="K39" s="235">
        <v>1000</v>
      </c>
      <c r="L39" s="235">
        <v>1000</v>
      </c>
      <c r="M39" s="235">
        <v>1000</v>
      </c>
      <c r="N39" s="235">
        <v>1000</v>
      </c>
      <c r="O39" s="235">
        <v>1000</v>
      </c>
      <c r="P39" s="236"/>
      <c r="Q39" s="235">
        <v>2000</v>
      </c>
      <c r="R39" s="235">
        <v>2000</v>
      </c>
      <c r="S39" s="235">
        <v>2000</v>
      </c>
      <c r="T39" s="235">
        <v>2000</v>
      </c>
      <c r="U39" s="235">
        <v>2000</v>
      </c>
      <c r="V39" s="235">
        <v>2000</v>
      </c>
      <c r="W39" s="235">
        <v>2000</v>
      </c>
      <c r="X39" s="235">
        <v>2000</v>
      </c>
      <c r="Y39" s="235">
        <v>2000</v>
      </c>
      <c r="Z39" s="235">
        <v>2000</v>
      </c>
      <c r="AA39" s="235">
        <v>2000</v>
      </c>
      <c r="AB39" s="235">
        <v>2000</v>
      </c>
      <c r="AC39" s="236"/>
    </row>
    <row r="40" spans="1:29" ht="18.75">
      <c r="A40" s="210"/>
      <c r="B40" s="233" t="s">
        <v>174</v>
      </c>
      <c r="C40" s="233" t="s">
        <v>175</v>
      </c>
      <c r="D40" s="234">
        <v>4000</v>
      </c>
      <c r="E40" s="235">
        <v>4000</v>
      </c>
      <c r="F40" s="234">
        <v>4000</v>
      </c>
      <c r="G40" s="235">
        <v>4000</v>
      </c>
      <c r="H40" s="235">
        <v>4000</v>
      </c>
      <c r="I40" s="235">
        <v>4000</v>
      </c>
      <c r="J40" s="235">
        <v>4000</v>
      </c>
      <c r="K40" s="235">
        <v>10000</v>
      </c>
      <c r="L40" s="235">
        <v>10000</v>
      </c>
      <c r="M40" s="235">
        <v>10000</v>
      </c>
      <c r="N40" s="235">
        <v>10000</v>
      </c>
      <c r="O40" s="235">
        <v>10000</v>
      </c>
      <c r="P40" s="236"/>
      <c r="Q40" s="235">
        <v>2000</v>
      </c>
      <c r="R40" s="235">
        <v>2000</v>
      </c>
      <c r="S40" s="235">
        <v>2000</v>
      </c>
      <c r="T40" s="235">
        <v>2000</v>
      </c>
      <c r="U40" s="235">
        <v>2000</v>
      </c>
      <c r="V40" s="235">
        <v>4000</v>
      </c>
      <c r="W40" s="235">
        <v>4000</v>
      </c>
      <c r="X40" s="235">
        <v>4000</v>
      </c>
      <c r="Y40" s="235">
        <v>4000</v>
      </c>
      <c r="Z40" s="235">
        <v>4000</v>
      </c>
      <c r="AA40" s="235">
        <v>4000</v>
      </c>
      <c r="AB40" s="235">
        <v>4000</v>
      </c>
      <c r="AC40" s="236"/>
    </row>
    <row r="41" spans="1:29" ht="18.75">
      <c r="A41" s="210"/>
      <c r="B41" s="239" t="s">
        <v>176</v>
      </c>
      <c r="C41" s="212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6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6"/>
    </row>
    <row r="42" spans="1:29" ht="18.75">
      <c r="A42" s="210"/>
      <c r="B42" s="233" t="s">
        <v>177</v>
      </c>
      <c r="C42" s="233" t="s">
        <v>178</v>
      </c>
      <c r="D42" s="234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6"/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5000</v>
      </c>
      <c r="W42" s="235">
        <v>5000</v>
      </c>
      <c r="X42" s="235">
        <v>5000</v>
      </c>
      <c r="Y42" s="235">
        <v>5000</v>
      </c>
      <c r="Z42" s="235">
        <v>5000</v>
      </c>
      <c r="AA42" s="235">
        <v>5000</v>
      </c>
      <c r="AB42" s="235">
        <v>5000</v>
      </c>
      <c r="AC42" s="236"/>
    </row>
    <row r="43" spans="1:29" ht="18.75">
      <c r="A43" s="210"/>
      <c r="B43" s="239" t="s">
        <v>179</v>
      </c>
      <c r="C43" s="212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6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</row>
    <row r="44" spans="1:29" ht="18.75">
      <c r="A44" s="210"/>
      <c r="B44" s="233" t="s">
        <v>180</v>
      </c>
      <c r="C44" s="233" t="s">
        <v>181</v>
      </c>
      <c r="D44" s="234">
        <v>180</v>
      </c>
      <c r="E44" s="235">
        <v>180</v>
      </c>
      <c r="F44" s="235">
        <v>180</v>
      </c>
      <c r="G44" s="235">
        <v>180</v>
      </c>
      <c r="H44" s="235">
        <v>180</v>
      </c>
      <c r="I44" s="235">
        <v>180</v>
      </c>
      <c r="J44" s="235">
        <v>180</v>
      </c>
      <c r="K44" s="235">
        <v>180</v>
      </c>
      <c r="L44" s="235">
        <v>180</v>
      </c>
      <c r="M44" s="235">
        <v>180</v>
      </c>
      <c r="N44" s="235">
        <v>180</v>
      </c>
      <c r="O44" s="235">
        <v>180</v>
      </c>
      <c r="P44" s="236"/>
      <c r="Q44" s="235">
        <v>180</v>
      </c>
      <c r="R44" s="235">
        <v>180</v>
      </c>
      <c r="S44" s="235">
        <v>180</v>
      </c>
      <c r="T44" s="235">
        <v>180</v>
      </c>
      <c r="U44" s="235">
        <v>180</v>
      </c>
      <c r="V44" s="235">
        <v>180</v>
      </c>
      <c r="W44" s="235">
        <v>180</v>
      </c>
      <c r="X44" s="235">
        <v>180</v>
      </c>
      <c r="Y44" s="235">
        <v>180</v>
      </c>
      <c r="Z44" s="235">
        <v>180</v>
      </c>
      <c r="AA44" s="235">
        <v>180</v>
      </c>
      <c r="AB44" s="235">
        <v>180</v>
      </c>
      <c r="AC44" s="236"/>
    </row>
    <row r="45" spans="1:29" ht="18.75">
      <c r="A45" s="210"/>
      <c r="B45" s="233" t="s">
        <v>182</v>
      </c>
      <c r="C45" s="233" t="s">
        <v>183</v>
      </c>
      <c r="D45" s="234">
        <v>490</v>
      </c>
      <c r="E45" s="235">
        <v>490</v>
      </c>
      <c r="F45" s="235">
        <v>490</v>
      </c>
      <c r="G45" s="235">
        <v>490</v>
      </c>
      <c r="H45" s="235">
        <v>490</v>
      </c>
      <c r="I45" s="235">
        <v>490</v>
      </c>
      <c r="J45" s="235">
        <v>490</v>
      </c>
      <c r="K45" s="235">
        <v>490</v>
      </c>
      <c r="L45" s="235">
        <v>490</v>
      </c>
      <c r="M45" s="235">
        <v>490</v>
      </c>
      <c r="N45" s="235">
        <v>490</v>
      </c>
      <c r="O45" s="235">
        <v>490</v>
      </c>
      <c r="P45" s="236"/>
      <c r="Q45" s="235">
        <v>490</v>
      </c>
      <c r="R45" s="235">
        <v>490</v>
      </c>
      <c r="S45" s="235">
        <v>490</v>
      </c>
      <c r="T45" s="235">
        <v>490</v>
      </c>
      <c r="U45" s="235">
        <v>490</v>
      </c>
      <c r="V45" s="235">
        <v>490</v>
      </c>
      <c r="W45" s="235">
        <v>490</v>
      </c>
      <c r="X45" s="235">
        <v>490</v>
      </c>
      <c r="Y45" s="235">
        <v>490</v>
      </c>
      <c r="Z45" s="235">
        <v>490</v>
      </c>
      <c r="AA45" s="235">
        <v>490</v>
      </c>
      <c r="AB45" s="235">
        <v>490</v>
      </c>
      <c r="AC45" s="236"/>
    </row>
    <row r="46" spans="1:29" ht="18.75">
      <c r="A46" s="210"/>
      <c r="B46" s="233" t="s">
        <v>184</v>
      </c>
      <c r="C46" s="233" t="s">
        <v>185</v>
      </c>
      <c r="D46" s="234">
        <v>500</v>
      </c>
      <c r="E46" s="235">
        <v>500</v>
      </c>
      <c r="F46" s="235">
        <v>500</v>
      </c>
      <c r="G46" s="235">
        <v>500</v>
      </c>
      <c r="H46" s="235">
        <v>500</v>
      </c>
      <c r="I46" s="235">
        <v>500</v>
      </c>
      <c r="J46" s="235">
        <v>500</v>
      </c>
      <c r="K46" s="235">
        <v>500</v>
      </c>
      <c r="L46" s="235">
        <v>500</v>
      </c>
      <c r="M46" s="235">
        <v>500</v>
      </c>
      <c r="N46" s="235">
        <v>500</v>
      </c>
      <c r="O46" s="235">
        <v>500</v>
      </c>
      <c r="P46" s="236"/>
      <c r="Q46" s="235">
        <v>500</v>
      </c>
      <c r="R46" s="235">
        <v>500</v>
      </c>
      <c r="S46" s="235">
        <v>500</v>
      </c>
      <c r="T46" s="235">
        <v>500</v>
      </c>
      <c r="U46" s="235">
        <v>500</v>
      </c>
      <c r="V46" s="235">
        <v>500</v>
      </c>
      <c r="W46" s="235">
        <v>500</v>
      </c>
      <c r="X46" s="235">
        <v>500</v>
      </c>
      <c r="Y46" s="235">
        <v>500</v>
      </c>
      <c r="Z46" s="235">
        <v>500</v>
      </c>
      <c r="AA46" s="235">
        <v>500</v>
      </c>
      <c r="AB46" s="235">
        <v>500</v>
      </c>
      <c r="AC46" s="236"/>
    </row>
    <row r="47" spans="1:29" ht="18.75">
      <c r="A47" s="210">
        <v>4</v>
      </c>
      <c r="B47" s="220" t="s">
        <v>186</v>
      </c>
      <c r="C47" s="221"/>
      <c r="D47" s="230">
        <f>D48</f>
        <v>1415.01</v>
      </c>
      <c r="E47" s="231">
        <f t="shared" ref="E47:AB47" si="18">E48</f>
        <v>2847.384</v>
      </c>
      <c r="F47" s="231">
        <f>F48</f>
        <v>3854.6099999999997</v>
      </c>
      <c r="G47" s="231">
        <f>G48</f>
        <v>4679.4239999999991</v>
      </c>
      <c r="H47" s="231">
        <f>H48</f>
        <v>5310.9659999999994</v>
      </c>
      <c r="I47" s="231">
        <f>I48</f>
        <v>7965.7199999999993</v>
      </c>
      <c r="J47" s="231">
        <f>J48</f>
        <v>8440.1519999999982</v>
      </c>
      <c r="K47" s="231">
        <f t="shared" si="18"/>
        <v>9390.4451999999983</v>
      </c>
      <c r="L47" s="231">
        <f t="shared" si="18"/>
        <v>8531.9582399999999</v>
      </c>
      <c r="M47" s="231">
        <f t="shared" si="18"/>
        <v>8127.7850879999987</v>
      </c>
      <c r="N47" s="231">
        <f t="shared" si="18"/>
        <v>6921.4621055999996</v>
      </c>
      <c r="O47" s="231">
        <f t="shared" si="18"/>
        <v>7507.3909267199988</v>
      </c>
      <c r="P47" s="232">
        <f>SUM(D47:O47)</f>
        <v>74992.307560319998</v>
      </c>
      <c r="Q47" s="231">
        <f t="shared" si="18"/>
        <v>5659.2</v>
      </c>
      <c r="R47" s="231">
        <f t="shared" si="18"/>
        <v>9110.4</v>
      </c>
      <c r="S47" s="231">
        <f t="shared" si="18"/>
        <v>11388</v>
      </c>
      <c r="T47" s="231">
        <f t="shared" si="18"/>
        <v>15155.699999999999</v>
      </c>
      <c r="U47" s="231">
        <f t="shared" si="18"/>
        <v>18630.479999999996</v>
      </c>
      <c r="V47" s="231">
        <f t="shared" si="18"/>
        <v>21941.051999999992</v>
      </c>
      <c r="W47" s="231">
        <f t="shared" si="18"/>
        <v>24827.329799999996</v>
      </c>
      <c r="X47" s="231">
        <f t="shared" si="18"/>
        <v>28126.305269999993</v>
      </c>
      <c r="Y47" s="231">
        <f t="shared" si="18"/>
        <v>31898.870860499988</v>
      </c>
      <c r="Z47" s="231">
        <f t="shared" si="18"/>
        <v>31891.395423524988</v>
      </c>
      <c r="AA47" s="231">
        <f t="shared" si="18"/>
        <v>21936.068861249998</v>
      </c>
      <c r="AB47" s="231">
        <f t="shared" si="18"/>
        <v>18015.312304312502</v>
      </c>
      <c r="AC47" s="232">
        <f>SUM(Q47:AB47)</f>
        <v>238580.11451958746</v>
      </c>
    </row>
    <row r="48" spans="1:29" ht="19.5" thickBot="1">
      <c r="A48" s="210"/>
      <c r="B48" s="242">
        <v>4.0999999999999996</v>
      </c>
      <c r="C48" s="233" t="s">
        <v>187</v>
      </c>
      <c r="D48" s="234">
        <f t="shared" ref="D48:O48" si="19">D23*0.06</f>
        <v>1415.01</v>
      </c>
      <c r="E48" s="235">
        <f t="shared" si="19"/>
        <v>2847.384</v>
      </c>
      <c r="F48" s="235">
        <f t="shared" si="19"/>
        <v>3854.6099999999997</v>
      </c>
      <c r="G48" s="235">
        <f t="shared" si="19"/>
        <v>4679.4239999999991</v>
      </c>
      <c r="H48" s="235">
        <f t="shared" si="19"/>
        <v>5310.9659999999994</v>
      </c>
      <c r="I48" s="235">
        <f t="shared" si="19"/>
        <v>7965.7199999999993</v>
      </c>
      <c r="J48" s="235">
        <f>J23*0.06</f>
        <v>8440.1519999999982</v>
      </c>
      <c r="K48" s="235">
        <f t="shared" si="19"/>
        <v>9390.4451999999983</v>
      </c>
      <c r="L48" s="235">
        <f t="shared" si="19"/>
        <v>8531.9582399999999</v>
      </c>
      <c r="M48" s="235">
        <f t="shared" si="19"/>
        <v>8127.7850879999987</v>
      </c>
      <c r="N48" s="235">
        <f t="shared" si="19"/>
        <v>6921.4621055999996</v>
      </c>
      <c r="O48" s="235">
        <f t="shared" si="19"/>
        <v>7507.3909267199988</v>
      </c>
      <c r="P48" s="236"/>
      <c r="Q48" s="235">
        <f t="shared" ref="Q48:AB48" si="20">Q23*0.06</f>
        <v>5659.2</v>
      </c>
      <c r="R48" s="235">
        <f t="shared" si="20"/>
        <v>9110.4</v>
      </c>
      <c r="S48" s="235">
        <f t="shared" si="20"/>
        <v>11388</v>
      </c>
      <c r="T48" s="235">
        <f t="shared" si="20"/>
        <v>15155.699999999999</v>
      </c>
      <c r="U48" s="235">
        <f t="shared" si="20"/>
        <v>18630.479999999996</v>
      </c>
      <c r="V48" s="235">
        <f t="shared" si="20"/>
        <v>21941.051999999992</v>
      </c>
      <c r="W48" s="235">
        <f t="shared" si="20"/>
        <v>24827.329799999996</v>
      </c>
      <c r="X48" s="235">
        <f t="shared" si="20"/>
        <v>28126.305269999993</v>
      </c>
      <c r="Y48" s="235">
        <f t="shared" si="20"/>
        <v>31898.870860499988</v>
      </c>
      <c r="Z48" s="235">
        <f t="shared" si="20"/>
        <v>31891.395423524988</v>
      </c>
      <c r="AA48" s="235">
        <f t="shared" si="20"/>
        <v>21936.068861249998</v>
      </c>
      <c r="AB48" s="235">
        <f t="shared" si="20"/>
        <v>18015.312304312502</v>
      </c>
      <c r="AC48" s="236"/>
    </row>
    <row r="49" spans="1:29" ht="19.5" thickBot="1">
      <c r="A49" s="210"/>
      <c r="B49" s="214" t="s">
        <v>188</v>
      </c>
      <c r="C49" s="215"/>
      <c r="D49" s="243">
        <f t="shared" ref="D49:O49" si="21">D23-SUM(D30,D36,D48)</f>
        <v>-4633.8099999999977</v>
      </c>
      <c r="E49" s="244">
        <f t="shared" si="21"/>
        <v>7132.6960000000036</v>
      </c>
      <c r="F49" s="244">
        <f t="shared" si="21"/>
        <v>15358.590000000004</v>
      </c>
      <c r="G49" s="244">
        <f t="shared" si="21"/>
        <v>22089.455999999998</v>
      </c>
      <c r="H49" s="244">
        <f t="shared" si="21"/>
        <v>27220.953999999991</v>
      </c>
      <c r="I49" s="244">
        <f t="shared" si="21"/>
        <v>48910.680000000008</v>
      </c>
      <c r="J49" s="244">
        <f t="shared" si="21"/>
        <v>52840.087999999974</v>
      </c>
      <c r="K49" s="244">
        <f t="shared" si="21"/>
        <v>54150.17879999998</v>
      </c>
      <c r="L49" s="244">
        <f>L23-SUM(L30,L36,L48)</f>
        <v>47937.670559999999</v>
      </c>
      <c r="M49" s="244">
        <f t="shared" si="21"/>
        <v>44749.193471999984</v>
      </c>
      <c r="N49" s="244">
        <f t="shared" si="21"/>
        <v>34299.312166400006</v>
      </c>
      <c r="O49" s="244">
        <f t="shared" si="21"/>
        <v>38548.306199679995</v>
      </c>
      <c r="P49" s="245">
        <f>SUM(D49:O49)</f>
        <v>388603.31519807992</v>
      </c>
      <c r="Q49" s="244">
        <f t="shared" ref="Q49:AB49" si="22">Q23-SUM(Q30,Q36,Q48)</f>
        <v>36154.800000000003</v>
      </c>
      <c r="R49" s="244">
        <f t="shared" si="22"/>
        <v>63567.600000000006</v>
      </c>
      <c r="S49" s="244">
        <f t="shared" si="22"/>
        <v>77002</v>
      </c>
      <c r="T49" s="244">
        <f t="shared" si="22"/>
        <v>97658.299999999988</v>
      </c>
      <c r="U49" s="244">
        <f t="shared" si="22"/>
        <v>126377.12</v>
      </c>
      <c r="V49" s="244">
        <f t="shared" si="22"/>
        <v>202716.0279999999</v>
      </c>
      <c r="W49" s="244">
        <f t="shared" si="22"/>
        <v>235289.41219999996</v>
      </c>
      <c r="X49" s="244">
        <f t="shared" si="22"/>
        <v>262503.32802999998</v>
      </c>
      <c r="Y49" s="244">
        <f t="shared" si="22"/>
        <v>305041.58143449994</v>
      </c>
      <c r="Z49" s="244">
        <f t="shared" si="22"/>
        <v>303388.99308622489</v>
      </c>
      <c r="AA49" s="244">
        <f t="shared" si="22"/>
        <v>191134.77277624997</v>
      </c>
      <c r="AB49" s="244">
        <f t="shared" si="22"/>
        <v>147135.17141506248</v>
      </c>
      <c r="AC49" s="245">
        <f>SUM(Q49:AB49)</f>
        <v>2047969.1069420371</v>
      </c>
    </row>
    <row r="50" spans="1:29">
      <c r="A50" s="210"/>
      <c r="B50" s="212"/>
      <c r="C50" s="212"/>
      <c r="D50" s="21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246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126"/>
    </row>
    <row r="51" spans="1:29">
      <c r="A51" s="210"/>
      <c r="B51" s="212"/>
      <c r="C51" s="212"/>
      <c r="D51" s="21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247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126"/>
    </row>
    <row r="52" spans="1:29">
      <c r="A52" s="210">
        <v>5</v>
      </c>
      <c r="B52" s="248" t="s">
        <v>189</v>
      </c>
      <c r="C52" s="248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1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2"/>
    </row>
    <row r="53" spans="1:29">
      <c r="A53" s="210"/>
      <c r="B53" s="212" t="s">
        <v>100</v>
      </c>
      <c r="C53" s="212"/>
      <c r="D53" s="234">
        <v>250000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247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126"/>
    </row>
    <row r="54" spans="1:29">
      <c r="A54" s="210"/>
      <c r="B54" s="212" t="s">
        <v>190</v>
      </c>
      <c r="C54" s="212"/>
      <c r="D54" s="23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247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126"/>
    </row>
    <row r="55" spans="1:29" ht="30.75" customHeight="1">
      <c r="A55" s="210"/>
      <c r="B55" s="212"/>
      <c r="C55" s="253" t="s">
        <v>191</v>
      </c>
      <c r="D55" s="234">
        <v>42000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247"/>
      <c r="Q55" s="94"/>
      <c r="R55" s="94"/>
      <c r="S55" s="94" t="s">
        <v>192</v>
      </c>
      <c r="T55" s="94"/>
      <c r="U55" s="94"/>
      <c r="V55" s="94"/>
      <c r="W55" s="94"/>
      <c r="X55" s="94"/>
      <c r="Y55" s="94"/>
      <c r="Z55" s="94"/>
      <c r="AA55" s="94"/>
      <c r="AB55" s="94"/>
      <c r="AC55" s="126"/>
    </row>
    <row r="56" spans="1:29">
      <c r="A56" s="210"/>
      <c r="B56" s="212"/>
      <c r="C56" s="241" t="s">
        <v>193</v>
      </c>
      <c r="D56" s="234">
        <v>0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247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126"/>
    </row>
    <row r="57" spans="1:29">
      <c r="A57" s="210"/>
      <c r="B57" s="212"/>
      <c r="C57" s="254" t="s">
        <v>194</v>
      </c>
      <c r="D57" s="234">
        <f>SUM(D53,D55,D56)</f>
        <v>292000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247"/>
      <c r="Q57" s="255">
        <f>D57+O61</f>
        <v>388603.31519807997</v>
      </c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126"/>
    </row>
    <row r="58" spans="1:29" ht="15.75" thickBot="1">
      <c r="A58" s="210"/>
      <c r="B58" s="212"/>
      <c r="C58" s="212"/>
      <c r="D58" s="21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247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126"/>
    </row>
    <row r="59" spans="1:29" ht="19.5" thickBot="1">
      <c r="A59" s="210">
        <v>6</v>
      </c>
      <c r="B59" s="256" t="s">
        <v>195</v>
      </c>
      <c r="C59" s="256"/>
      <c r="D59" s="548">
        <f>P49/D57</f>
        <v>1.3308332712263011</v>
      </c>
      <c r="E59" s="549"/>
      <c r="F59" s="549"/>
      <c r="G59" s="549"/>
      <c r="H59" s="549"/>
      <c r="I59" s="549"/>
      <c r="J59" s="549"/>
      <c r="K59" s="549"/>
      <c r="L59" s="549"/>
      <c r="M59" s="549"/>
      <c r="N59" s="549"/>
      <c r="O59" s="549"/>
      <c r="P59" s="550"/>
      <c r="Q59" s="549">
        <f>AC49/Q57</f>
        <v>5.2700762624686837</v>
      </c>
      <c r="R59" s="549"/>
      <c r="S59" s="549"/>
      <c r="T59" s="549"/>
      <c r="U59" s="549"/>
      <c r="V59" s="549"/>
      <c r="W59" s="549"/>
      <c r="X59" s="549"/>
      <c r="Y59" s="549"/>
      <c r="Z59" s="549"/>
      <c r="AA59" s="549"/>
      <c r="AB59" s="549"/>
      <c r="AC59" s="550"/>
    </row>
    <row r="60" spans="1:29">
      <c r="A60" s="210"/>
      <c r="B60" s="212"/>
      <c r="C60" s="212"/>
      <c r="D60" s="21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246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126"/>
    </row>
    <row r="61" spans="1:29">
      <c r="A61" s="210">
        <v>7</v>
      </c>
      <c r="B61" s="257" t="s">
        <v>196</v>
      </c>
      <c r="C61" s="258">
        <f>0-D57</f>
        <v>-292000</v>
      </c>
      <c r="D61" s="259">
        <f>C61+D49</f>
        <v>-296633.81</v>
      </c>
      <c r="E61" s="259">
        <f t="shared" ref="E61:AA61" si="23">D61+E49</f>
        <v>-289501.114</v>
      </c>
      <c r="F61" s="259">
        <f>E61+F49</f>
        <v>-274142.52399999998</v>
      </c>
      <c r="G61" s="259">
        <f t="shared" ref="G61:O61" si="24">F61+G49</f>
        <v>-252053.06799999997</v>
      </c>
      <c r="H61" s="259">
        <f t="shared" si="24"/>
        <v>-224832.11399999997</v>
      </c>
      <c r="I61" s="259">
        <f t="shared" si="24"/>
        <v>-175921.43399999995</v>
      </c>
      <c r="J61" s="259">
        <f t="shared" si="24"/>
        <v>-123081.34599999998</v>
      </c>
      <c r="K61" s="259">
        <f t="shared" si="24"/>
        <v>-68931.167199999996</v>
      </c>
      <c r="L61" s="259">
        <f t="shared" si="24"/>
        <v>-20993.496639999998</v>
      </c>
      <c r="M61" s="259">
        <f t="shared" si="24"/>
        <v>23755.696831999987</v>
      </c>
      <c r="N61" s="259">
        <f t="shared" si="24"/>
        <v>58055.008998399993</v>
      </c>
      <c r="O61" s="259">
        <f t="shared" si="24"/>
        <v>96603.315198079988</v>
      </c>
      <c r="P61" s="260"/>
      <c r="Q61" s="259">
        <f>O61+Q49</f>
        <v>132758.11519807999</v>
      </c>
      <c r="R61" s="259">
        <f t="shared" si="23"/>
        <v>196325.71519808</v>
      </c>
      <c r="S61" s="259">
        <f t="shared" si="23"/>
        <v>273327.71519808</v>
      </c>
      <c r="T61" s="259">
        <f t="shared" si="23"/>
        <v>370986.01519807999</v>
      </c>
      <c r="U61" s="259">
        <f t="shared" si="23"/>
        <v>497363.13519807998</v>
      </c>
      <c r="V61" s="259">
        <f t="shared" si="23"/>
        <v>700079.16319807991</v>
      </c>
      <c r="W61" s="259">
        <f t="shared" si="23"/>
        <v>935368.57539807982</v>
      </c>
      <c r="X61" s="259">
        <f t="shared" si="23"/>
        <v>1197871.9034280798</v>
      </c>
      <c r="Y61" s="259">
        <f t="shared" si="23"/>
        <v>1502913.4848625797</v>
      </c>
      <c r="Z61" s="259">
        <f t="shared" si="23"/>
        <v>1806302.4779488046</v>
      </c>
      <c r="AA61" s="259">
        <f t="shared" si="23"/>
        <v>1997437.2507250546</v>
      </c>
      <c r="AB61" s="259">
        <f>AA61+AB49</f>
        <v>2144572.4221401173</v>
      </c>
      <c r="AC61" s="126"/>
    </row>
    <row r="62" spans="1:29" s="94" customFormat="1" ht="15.75" thickBot="1">
      <c r="A62" s="127"/>
      <c r="B62" s="261" t="s">
        <v>197</v>
      </c>
      <c r="C62" s="262">
        <f xml:space="preserve"> (C61 + $D57) / $D57</f>
        <v>0</v>
      </c>
      <c r="D62" s="263">
        <f xml:space="preserve"> (D61 + $D57) / $D57</f>
        <v>-1.5869212328767115E-2</v>
      </c>
      <c r="E62" s="263">
        <f xml:space="preserve"> (E61 + $D57) / $D57</f>
        <v>8.5578287671232833E-3</v>
      </c>
      <c r="F62" s="263">
        <f t="shared" ref="F62:O62" si="25" xml:space="preserve"> (F61 + $D57) / $D57</f>
        <v>6.1155739726027482E-2</v>
      </c>
      <c r="G62" s="263">
        <f t="shared" si="25"/>
        <v>0.13680456164383573</v>
      </c>
      <c r="H62" s="263">
        <f t="shared" si="25"/>
        <v>0.23002700684931515</v>
      </c>
      <c r="I62" s="263">
        <f t="shared" si="25"/>
        <v>0.39752933561643855</v>
      </c>
      <c r="J62" s="263">
        <f t="shared" si="25"/>
        <v>0.57848854109589054</v>
      </c>
      <c r="K62" s="263">
        <f t="shared" si="25"/>
        <v>0.76393435890410966</v>
      </c>
      <c r="L62" s="263">
        <f t="shared" si="25"/>
        <v>0.92810446356164378</v>
      </c>
      <c r="M62" s="263">
        <f t="shared" si="25"/>
        <v>1.0813551261369863</v>
      </c>
      <c r="N62" s="263">
        <f t="shared" si="25"/>
        <v>1.1988185239671234</v>
      </c>
      <c r="O62" s="263">
        <f t="shared" si="25"/>
        <v>1.3308332712263014</v>
      </c>
      <c r="P62" s="264"/>
      <c r="Q62" s="263">
        <f t="shared" ref="Q62:AA62" si="26" xml:space="preserve"> (Q61 + $D57) / $D57</f>
        <v>1.4546510794454792</v>
      </c>
      <c r="R62" s="263">
        <f t="shared" si="26"/>
        <v>1.6723483397194521</v>
      </c>
      <c r="S62" s="263">
        <f t="shared" si="26"/>
        <v>1.9360538191715071</v>
      </c>
      <c r="T62" s="263">
        <f t="shared" si="26"/>
        <v>2.2705000520482193</v>
      </c>
      <c r="U62" s="263">
        <f t="shared" si="26"/>
        <v>2.7032984082126026</v>
      </c>
      <c r="V62" s="263">
        <f t="shared" si="26"/>
        <v>3.3975313808153422</v>
      </c>
      <c r="W62" s="263">
        <f t="shared" si="26"/>
        <v>4.2033170390345198</v>
      </c>
      <c r="X62" s="263">
        <f t="shared" si="26"/>
        <v>5.1023010391372594</v>
      </c>
      <c r="Y62" s="263">
        <f t="shared" si="26"/>
        <v>6.1469639892554104</v>
      </c>
      <c r="Z62" s="263">
        <f t="shared" si="26"/>
        <v>7.1859673902356311</v>
      </c>
      <c r="AA62" s="263">
        <f t="shared" si="26"/>
        <v>7.8405385298803241</v>
      </c>
      <c r="AB62" s="263">
        <f xml:space="preserve"> (AB61 + $D57) / $D57</f>
        <v>8.344426103219579</v>
      </c>
      <c r="AC62" s="129"/>
    </row>
    <row r="63" spans="1:29"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</row>
    <row r="66" spans="3:3">
      <c r="C66" s="94"/>
    </row>
  </sheetData>
  <mergeCells count="4">
    <mergeCell ref="P2:P3"/>
    <mergeCell ref="AC2:AC3"/>
    <mergeCell ref="D59:P59"/>
    <mergeCell ref="Q59:AC5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C63"/>
  <sheetViews>
    <sheetView workbookViewId="0">
      <selection activeCell="D4" sqref="D4"/>
    </sheetView>
  </sheetViews>
  <sheetFormatPr defaultRowHeight="15"/>
  <cols>
    <col min="2" max="2" width="39.140625" customWidth="1"/>
    <col min="3" max="3" width="40.42578125" customWidth="1"/>
    <col min="4" max="5" width="12.28515625" bestFit="1" customWidth="1"/>
    <col min="6" max="9" width="12.28515625" customWidth="1"/>
    <col min="10" max="15" width="12.28515625" bestFit="1" customWidth="1"/>
    <col min="16" max="16" width="17.7109375" customWidth="1"/>
    <col min="17" max="20" width="12.28515625" bestFit="1" customWidth="1"/>
    <col min="21" max="27" width="11.7109375" bestFit="1" customWidth="1"/>
    <col min="28" max="28" width="13.28515625" bestFit="1" customWidth="1"/>
    <col min="29" max="29" width="16.28515625" customWidth="1"/>
  </cols>
  <sheetData>
    <row r="1" spans="1:29" ht="15.75" thickBot="1">
      <c r="B1" s="78" t="s">
        <v>61</v>
      </c>
    </row>
    <row r="2" spans="1:29" ht="15.75" thickBot="1">
      <c r="A2" s="206"/>
      <c r="B2" s="207" t="s">
        <v>128</v>
      </c>
      <c r="C2" s="207"/>
      <c r="D2" s="208">
        <v>2020</v>
      </c>
      <c r="E2" s="208">
        <v>2020</v>
      </c>
      <c r="F2" s="208">
        <v>2020</v>
      </c>
      <c r="G2" s="208">
        <v>2020</v>
      </c>
      <c r="H2" s="208">
        <v>2020</v>
      </c>
      <c r="I2" s="208">
        <v>2020</v>
      </c>
      <c r="J2" s="208">
        <v>2020</v>
      </c>
      <c r="K2" s="209">
        <v>2020</v>
      </c>
      <c r="L2" s="209">
        <v>2020</v>
      </c>
      <c r="M2" s="209">
        <v>2020</v>
      </c>
      <c r="N2" s="209">
        <v>2020</v>
      </c>
      <c r="O2" s="209">
        <v>2020</v>
      </c>
      <c r="P2" s="546" t="s">
        <v>129</v>
      </c>
      <c r="Q2" s="209">
        <v>2021</v>
      </c>
      <c r="R2" s="209">
        <v>2021</v>
      </c>
      <c r="S2" s="209">
        <v>2021</v>
      </c>
      <c r="T2" s="209">
        <v>2021</v>
      </c>
      <c r="U2" s="209">
        <v>2021</v>
      </c>
      <c r="V2" s="209">
        <v>2021</v>
      </c>
      <c r="W2" s="209">
        <v>2021</v>
      </c>
      <c r="X2" s="209">
        <v>2021</v>
      </c>
      <c r="Y2" s="209">
        <v>2021</v>
      </c>
      <c r="Z2" s="209">
        <v>2021</v>
      </c>
      <c r="AA2" s="209">
        <v>2021</v>
      </c>
      <c r="AB2" s="209">
        <v>2021</v>
      </c>
      <c r="AC2" s="546" t="s">
        <v>130</v>
      </c>
    </row>
    <row r="3" spans="1:29" ht="15.75" thickTop="1">
      <c r="A3" s="210"/>
      <c r="B3" s="211"/>
      <c r="C3" s="212"/>
      <c r="D3" s="213" t="s">
        <v>131</v>
      </c>
      <c r="E3" s="213" t="s">
        <v>132</v>
      </c>
      <c r="F3" s="213" t="s">
        <v>133</v>
      </c>
      <c r="G3" s="94" t="s">
        <v>134</v>
      </c>
      <c r="H3" s="94" t="s">
        <v>135</v>
      </c>
      <c r="I3" s="94" t="s">
        <v>136</v>
      </c>
      <c r="J3" s="94" t="s">
        <v>137</v>
      </c>
      <c r="K3" s="94" t="s">
        <v>138</v>
      </c>
      <c r="L3" s="94" t="s">
        <v>139</v>
      </c>
      <c r="M3" s="94" t="s">
        <v>140</v>
      </c>
      <c r="N3" s="94" t="s">
        <v>141</v>
      </c>
      <c r="O3" s="94" t="s">
        <v>142</v>
      </c>
      <c r="P3" s="547"/>
      <c r="Q3" s="94" t="s">
        <v>131</v>
      </c>
      <c r="R3" s="94" t="s">
        <v>132</v>
      </c>
      <c r="S3" s="94" t="s">
        <v>133</v>
      </c>
      <c r="T3" s="94" t="s">
        <v>134</v>
      </c>
      <c r="U3" s="94" t="s">
        <v>135</v>
      </c>
      <c r="V3" s="94" t="s">
        <v>136</v>
      </c>
      <c r="W3" s="94" t="s">
        <v>137</v>
      </c>
      <c r="X3" s="94" t="s">
        <v>138</v>
      </c>
      <c r="Y3" s="94" t="s">
        <v>139</v>
      </c>
      <c r="Z3" s="94" t="s">
        <v>140</v>
      </c>
      <c r="AA3" s="94" t="s">
        <v>141</v>
      </c>
      <c r="AB3" s="94" t="s">
        <v>142</v>
      </c>
      <c r="AC3" s="547"/>
    </row>
    <row r="4" spans="1:29">
      <c r="A4" s="210"/>
      <c r="B4" s="214" t="s">
        <v>143</v>
      </c>
      <c r="C4" s="215"/>
      <c r="D4" s="216">
        <v>10</v>
      </c>
      <c r="E4" s="216">
        <v>20</v>
      </c>
      <c r="F4" s="216">
        <v>40</v>
      </c>
      <c r="G4" s="217">
        <v>40</v>
      </c>
      <c r="H4" s="217">
        <v>50</v>
      </c>
      <c r="I4" s="217">
        <v>60</v>
      </c>
      <c r="J4" s="217">
        <v>60</v>
      </c>
      <c r="K4" s="217">
        <v>60</v>
      </c>
      <c r="L4" s="217">
        <v>60</v>
      </c>
      <c r="M4" s="217">
        <v>60</v>
      </c>
      <c r="N4" s="217">
        <v>60</v>
      </c>
      <c r="O4" s="217">
        <v>60</v>
      </c>
      <c r="P4" s="218"/>
      <c r="Q4" s="217">
        <v>40</v>
      </c>
      <c r="R4" s="217">
        <v>40</v>
      </c>
      <c r="S4" s="217">
        <v>40</v>
      </c>
      <c r="T4" s="217">
        <v>50</v>
      </c>
      <c r="U4" s="217">
        <v>90</v>
      </c>
      <c r="V4" s="217">
        <v>120</v>
      </c>
      <c r="W4" s="217">
        <v>140</v>
      </c>
      <c r="X4" s="217">
        <v>180</v>
      </c>
      <c r="Y4" s="217">
        <v>180</v>
      </c>
      <c r="Z4" s="217">
        <v>190</v>
      </c>
      <c r="AA4" s="217">
        <v>190</v>
      </c>
      <c r="AB4" s="217">
        <v>200</v>
      </c>
      <c r="AC4" s="219"/>
    </row>
    <row r="5" spans="1:29">
      <c r="A5" s="210"/>
      <c r="B5" s="211"/>
      <c r="C5" s="212"/>
      <c r="D5" s="21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219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219"/>
    </row>
    <row r="6" spans="1:29">
      <c r="A6" s="210"/>
      <c r="B6" s="220" t="s">
        <v>144</v>
      </c>
      <c r="C6" s="221"/>
      <c r="D6" s="21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1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219"/>
    </row>
    <row r="7" spans="1:29" ht="18.75">
      <c r="A7" s="210"/>
      <c r="B7" s="211"/>
      <c r="C7" s="222" t="s">
        <v>145</v>
      </c>
      <c r="D7" s="223">
        <v>290</v>
      </c>
      <c r="E7" s="224">
        <v>536</v>
      </c>
      <c r="F7" s="224">
        <v>690</v>
      </c>
      <c r="G7" s="224">
        <v>896</v>
      </c>
      <c r="H7" s="224">
        <v>1014</v>
      </c>
      <c r="I7" s="224">
        <v>1560</v>
      </c>
      <c r="J7" s="224">
        <v>1624</v>
      </c>
      <c r="K7" s="224">
        <v>1850</v>
      </c>
      <c r="L7" s="224">
        <v>1516</v>
      </c>
      <c r="M7" s="224">
        <v>1360</v>
      </c>
      <c r="N7" s="224">
        <v>1112</v>
      </c>
      <c r="O7" s="224">
        <v>1230</v>
      </c>
      <c r="P7" s="225">
        <f>SUM(D7:O7)</f>
        <v>13678</v>
      </c>
      <c r="Q7" s="226">
        <v>800</v>
      </c>
      <c r="R7" s="226">
        <v>1600</v>
      </c>
      <c r="S7" s="226">
        <v>2000</v>
      </c>
      <c r="T7" s="226">
        <v>2800</v>
      </c>
      <c r="U7" s="226">
        <v>3919.9999999999995</v>
      </c>
      <c r="V7" s="226">
        <v>4507.9999999999991</v>
      </c>
      <c r="W7" s="226">
        <v>5184.1999999999989</v>
      </c>
      <c r="X7" s="226">
        <v>5961.8299999999981</v>
      </c>
      <c r="Y7" s="226">
        <v>6856.1044999999976</v>
      </c>
      <c r="Z7" s="226">
        <v>7198.9097249999977</v>
      </c>
      <c r="AA7" s="226">
        <v>4800</v>
      </c>
      <c r="AB7" s="226">
        <v>3800</v>
      </c>
      <c r="AC7" s="227">
        <f>SUM(Q7:AB7)</f>
        <v>49429.044224999991</v>
      </c>
    </row>
    <row r="8" spans="1:29" ht="18.75">
      <c r="A8" s="210"/>
      <c r="B8" s="211"/>
      <c r="C8" s="222" t="s">
        <v>146</v>
      </c>
      <c r="D8" s="223">
        <v>40</v>
      </c>
      <c r="E8" s="224">
        <v>90</v>
      </c>
      <c r="F8" s="224">
        <v>120</v>
      </c>
      <c r="G8" s="224">
        <v>144</v>
      </c>
      <c r="H8" s="224">
        <v>160</v>
      </c>
      <c r="I8" s="224">
        <v>240</v>
      </c>
      <c r="J8" s="224">
        <v>260</v>
      </c>
      <c r="K8" s="224">
        <v>240</v>
      </c>
      <c r="L8" s="224">
        <v>300</v>
      </c>
      <c r="M8" s="224">
        <v>300</v>
      </c>
      <c r="N8" s="224">
        <v>200</v>
      </c>
      <c r="O8" s="224">
        <v>160</v>
      </c>
      <c r="P8" s="225">
        <f>SUM(D8:O8)</f>
        <v>2254</v>
      </c>
      <c r="Q8" s="226">
        <v>180</v>
      </c>
      <c r="R8" s="226">
        <v>200</v>
      </c>
      <c r="S8" s="226">
        <v>250</v>
      </c>
      <c r="T8" s="226">
        <v>350</v>
      </c>
      <c r="U8" s="226">
        <v>489.99999999999994</v>
      </c>
      <c r="V8" s="226">
        <v>685.99999999999989</v>
      </c>
      <c r="W8" s="226">
        <v>720.3</v>
      </c>
      <c r="X8" s="226">
        <v>756.31499999999994</v>
      </c>
      <c r="Y8" s="226">
        <v>794.13074999999992</v>
      </c>
      <c r="Z8" s="226">
        <v>500</v>
      </c>
      <c r="AA8" s="226">
        <v>400</v>
      </c>
      <c r="AB8" s="226">
        <v>400</v>
      </c>
      <c r="AC8" s="227">
        <f>SUM(Q8:AB8)</f>
        <v>5726.74575</v>
      </c>
    </row>
    <row r="9" spans="1:29" ht="18.75">
      <c r="A9" s="210"/>
      <c r="B9" s="211"/>
      <c r="C9" s="222" t="s">
        <v>147</v>
      </c>
      <c r="D9" s="266">
        <v>4</v>
      </c>
      <c r="E9" s="226">
        <v>16</v>
      </c>
      <c r="F9" s="226">
        <v>30</v>
      </c>
      <c r="G9" s="226">
        <v>24</v>
      </c>
      <c r="H9" s="226">
        <v>28.799999999999997</v>
      </c>
      <c r="I9" s="226">
        <v>34.559999999999995</v>
      </c>
      <c r="J9" s="226">
        <v>41.471999999999994</v>
      </c>
      <c r="K9" s="226">
        <v>49.76639999999999</v>
      </c>
      <c r="L9" s="226">
        <v>59.719679999999983</v>
      </c>
      <c r="M9" s="226">
        <v>71.663615999999976</v>
      </c>
      <c r="N9" s="226">
        <v>85.996339199999966</v>
      </c>
      <c r="O9" s="226">
        <v>103.19560703999996</v>
      </c>
      <c r="P9" s="227">
        <f>SUM(D9:O9)</f>
        <v>549.17364223999982</v>
      </c>
      <c r="Q9" s="226">
        <v>90</v>
      </c>
      <c r="R9" s="226">
        <v>100</v>
      </c>
      <c r="S9" s="226">
        <v>125</v>
      </c>
      <c r="T9" s="226">
        <v>131.25</v>
      </c>
      <c r="U9" s="226">
        <v>40</v>
      </c>
      <c r="V9" s="226">
        <v>42</v>
      </c>
      <c r="W9" s="226">
        <v>44.1</v>
      </c>
      <c r="X9" s="226">
        <v>46.305000000000007</v>
      </c>
      <c r="Y9" s="226">
        <v>48.620250000000006</v>
      </c>
      <c r="Z9" s="226">
        <v>51.051262500000007</v>
      </c>
      <c r="AA9" s="226">
        <v>53.603825625000013</v>
      </c>
      <c r="AB9" s="226">
        <v>56.284016906250017</v>
      </c>
      <c r="AC9" s="227">
        <f>SUM(Q9:AB9)</f>
        <v>828.21435503125008</v>
      </c>
    </row>
    <row r="10" spans="1:29" ht="18.75">
      <c r="A10" s="210"/>
      <c r="B10" s="211"/>
      <c r="C10" s="222"/>
      <c r="D10" s="266" t="s">
        <v>216</v>
      </c>
      <c r="E10" s="266" t="s">
        <v>216</v>
      </c>
      <c r="F10" s="266" t="s">
        <v>216</v>
      </c>
      <c r="G10" s="266" t="s">
        <v>216</v>
      </c>
      <c r="H10" s="266" t="s">
        <v>216</v>
      </c>
      <c r="I10" s="266" t="s">
        <v>216</v>
      </c>
      <c r="J10" s="266" t="s">
        <v>216</v>
      </c>
      <c r="K10" s="266" t="s">
        <v>216</v>
      </c>
      <c r="L10" s="266" t="s">
        <v>216</v>
      </c>
      <c r="M10" s="266" t="s">
        <v>216</v>
      </c>
      <c r="N10" s="266" t="s">
        <v>216</v>
      </c>
      <c r="O10" s="266" t="s">
        <v>216</v>
      </c>
      <c r="P10" s="266" t="s">
        <v>216</v>
      </c>
      <c r="Q10" s="266" t="s">
        <v>216</v>
      </c>
      <c r="R10" s="266" t="s">
        <v>216</v>
      </c>
      <c r="S10" s="266" t="s">
        <v>216</v>
      </c>
      <c r="T10" s="266" t="s">
        <v>216</v>
      </c>
      <c r="U10" s="266" t="s">
        <v>216</v>
      </c>
      <c r="V10" s="266" t="s">
        <v>216</v>
      </c>
      <c r="W10" s="266" t="s">
        <v>216</v>
      </c>
      <c r="X10" s="266" t="s">
        <v>216</v>
      </c>
      <c r="Y10" s="266" t="s">
        <v>216</v>
      </c>
      <c r="Z10" s="266" t="s">
        <v>216</v>
      </c>
      <c r="AA10" s="266" t="s">
        <v>216</v>
      </c>
      <c r="AB10" s="266" t="s">
        <v>216</v>
      </c>
      <c r="AC10" s="227"/>
    </row>
    <row r="11" spans="1:29" ht="18.75">
      <c r="A11" s="210"/>
      <c r="B11" s="211"/>
      <c r="C11" s="222"/>
      <c r="D11" s="266" t="s">
        <v>216</v>
      </c>
      <c r="E11" s="266" t="s">
        <v>216</v>
      </c>
      <c r="F11" s="266" t="s">
        <v>216</v>
      </c>
      <c r="G11" s="266" t="s">
        <v>216</v>
      </c>
      <c r="H11" s="266" t="s">
        <v>216</v>
      </c>
      <c r="I11" s="266" t="s">
        <v>216</v>
      </c>
      <c r="J11" s="266" t="s">
        <v>216</v>
      </c>
      <c r="K11" s="266" t="s">
        <v>216</v>
      </c>
      <c r="L11" s="266" t="s">
        <v>216</v>
      </c>
      <c r="M11" s="266" t="s">
        <v>216</v>
      </c>
      <c r="N11" s="266" t="s">
        <v>216</v>
      </c>
      <c r="O11" s="266" t="s">
        <v>216</v>
      </c>
      <c r="P11" s="266" t="s">
        <v>216</v>
      </c>
      <c r="Q11" s="266" t="s">
        <v>216</v>
      </c>
      <c r="R11" s="266" t="s">
        <v>216</v>
      </c>
      <c r="S11" s="266" t="s">
        <v>216</v>
      </c>
      <c r="T11" s="266" t="s">
        <v>216</v>
      </c>
      <c r="U11" s="266" t="s">
        <v>216</v>
      </c>
      <c r="V11" s="266" t="s">
        <v>216</v>
      </c>
      <c r="W11" s="266" t="s">
        <v>216</v>
      </c>
      <c r="X11" s="266" t="s">
        <v>216</v>
      </c>
      <c r="Y11" s="266" t="s">
        <v>216</v>
      </c>
      <c r="Z11" s="266" t="s">
        <v>216</v>
      </c>
      <c r="AA11" s="266" t="s">
        <v>216</v>
      </c>
      <c r="AB11" s="266" t="s">
        <v>216</v>
      </c>
      <c r="AC11" s="227"/>
    </row>
    <row r="12" spans="1:29" ht="18.75">
      <c r="A12" s="210"/>
      <c r="B12" s="211"/>
      <c r="C12" s="282" t="s">
        <v>218</v>
      </c>
      <c r="D12" s="283">
        <f>Параметры!F72</f>
        <v>882</v>
      </c>
      <c r="E12" s="226"/>
      <c r="F12" s="26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7"/>
    </row>
    <row r="13" spans="1:29" ht="18.75">
      <c r="A13" s="210"/>
      <c r="B13" s="211"/>
      <c r="C13" s="282" t="s">
        <v>219</v>
      </c>
      <c r="D13" s="283">
        <f>Параметры!F73</f>
        <v>800</v>
      </c>
      <c r="E13" s="226"/>
      <c r="F13" s="26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</row>
    <row r="14" spans="1:29" ht="18.75">
      <c r="A14" s="210"/>
      <c r="B14" s="211"/>
      <c r="C14" s="282" t="s">
        <v>220</v>
      </c>
      <c r="D14" s="283">
        <f>Параметры!F74</f>
        <v>4000</v>
      </c>
      <c r="E14" s="226"/>
      <c r="F14" s="26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7"/>
    </row>
    <row r="15" spans="1:29" ht="18.75">
      <c r="A15" s="210"/>
      <c r="B15" s="211"/>
      <c r="C15" s="282" t="s">
        <v>221</v>
      </c>
      <c r="D15" s="223" t="s">
        <v>216</v>
      </c>
      <c r="E15" s="226"/>
      <c r="F15" s="26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7"/>
    </row>
    <row r="16" spans="1:29" ht="18.75">
      <c r="A16" s="210"/>
      <c r="B16" s="211"/>
      <c r="C16" s="282" t="s">
        <v>222</v>
      </c>
      <c r="D16" s="223" t="s">
        <v>216</v>
      </c>
      <c r="E16" s="226"/>
      <c r="F16" s="26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7"/>
    </row>
    <row r="17" spans="1:29" ht="18.75">
      <c r="A17" s="210">
        <v>1</v>
      </c>
      <c r="B17" s="220" t="s">
        <v>148</v>
      </c>
      <c r="C17" s="221"/>
      <c r="D17" s="230">
        <f>SUM(D18:D20)</f>
        <v>303780</v>
      </c>
      <c r="E17" s="231">
        <f t="shared" ref="E17:O17" si="0">SUM(E18:E20)</f>
        <v>608752</v>
      </c>
      <c r="F17" s="230">
        <f t="shared" si="0"/>
        <v>824580</v>
      </c>
      <c r="G17" s="231">
        <f t="shared" si="0"/>
        <v>1001472</v>
      </c>
      <c r="H17" s="231">
        <f t="shared" si="0"/>
        <v>1137548</v>
      </c>
      <c r="I17" s="231">
        <f t="shared" si="0"/>
        <v>1706160</v>
      </c>
      <c r="J17" s="231">
        <f t="shared" si="0"/>
        <v>1806256</v>
      </c>
      <c r="K17" s="231">
        <f t="shared" si="0"/>
        <v>2022765.5999999999</v>
      </c>
      <c r="L17" s="231">
        <f t="shared" si="0"/>
        <v>1815990.72</v>
      </c>
      <c r="M17" s="231">
        <f t="shared" si="0"/>
        <v>1726174.4639999999</v>
      </c>
      <c r="N17" s="231">
        <f t="shared" si="0"/>
        <v>1484769.3567999997</v>
      </c>
      <c r="O17" s="231">
        <f t="shared" si="0"/>
        <v>1625642.4281599999</v>
      </c>
      <c r="P17" s="232">
        <f>SUM(D17:O17)</f>
        <v>16063890.56896</v>
      </c>
      <c r="Q17" s="231">
        <f t="shared" ref="Q17:AB17" si="1">SUM(Q18:Q20)</f>
        <v>1209600</v>
      </c>
      <c r="R17" s="231">
        <f t="shared" si="1"/>
        <v>1971200</v>
      </c>
      <c r="S17" s="231">
        <f t="shared" si="1"/>
        <v>2464000</v>
      </c>
      <c r="T17" s="231">
        <f t="shared" si="1"/>
        <v>3274600</v>
      </c>
      <c r="U17" s="231">
        <f t="shared" si="1"/>
        <v>4009439.9999999995</v>
      </c>
      <c r="V17" s="231">
        <f t="shared" si="1"/>
        <v>4692855.9999999991</v>
      </c>
      <c r="W17" s="231">
        <f t="shared" si="1"/>
        <v>5325104.3999999994</v>
      </c>
      <c r="X17" s="231">
        <f t="shared" si="1"/>
        <v>6048606.0599999987</v>
      </c>
      <c r="Y17" s="231">
        <f t="shared" si="1"/>
        <v>6876869.7689999975</v>
      </c>
      <c r="Z17" s="231">
        <f t="shared" si="1"/>
        <v>6953643.4274499975</v>
      </c>
      <c r="AA17" s="231">
        <f t="shared" si="1"/>
        <v>4768015.3025000002</v>
      </c>
      <c r="AB17" s="231">
        <f t="shared" si="1"/>
        <v>3896736.0676250001</v>
      </c>
      <c r="AC17" s="232">
        <f>SUM(Q17:AB17)</f>
        <v>51490671.026574992</v>
      </c>
    </row>
    <row r="18" spans="1:29" ht="18.75">
      <c r="A18" s="210"/>
      <c r="B18" s="233" t="s">
        <v>149</v>
      </c>
      <c r="C18" s="233" t="s">
        <v>150</v>
      </c>
      <c r="D18" s="234">
        <f>$D$12*D7</f>
        <v>255780</v>
      </c>
      <c r="E18" s="234">
        <f t="shared" ref="E18:AB18" si="2">$D$12*E7</f>
        <v>472752</v>
      </c>
      <c r="F18" s="234">
        <f t="shared" si="2"/>
        <v>608580</v>
      </c>
      <c r="G18" s="234">
        <f t="shared" si="2"/>
        <v>790272</v>
      </c>
      <c r="H18" s="234">
        <f t="shared" si="2"/>
        <v>894348</v>
      </c>
      <c r="I18" s="234">
        <f t="shared" si="2"/>
        <v>1375920</v>
      </c>
      <c r="J18" s="234">
        <f t="shared" si="2"/>
        <v>1432368</v>
      </c>
      <c r="K18" s="234">
        <f t="shared" si="2"/>
        <v>1631700</v>
      </c>
      <c r="L18" s="234">
        <f t="shared" si="2"/>
        <v>1337112</v>
      </c>
      <c r="M18" s="234">
        <f t="shared" si="2"/>
        <v>1199520</v>
      </c>
      <c r="N18" s="234">
        <f t="shared" si="2"/>
        <v>980784</v>
      </c>
      <c r="O18" s="234">
        <f t="shared" si="2"/>
        <v>1084860</v>
      </c>
      <c r="P18" s="234"/>
      <c r="Q18" s="234">
        <f t="shared" si="2"/>
        <v>705600</v>
      </c>
      <c r="R18" s="234">
        <f t="shared" si="2"/>
        <v>1411200</v>
      </c>
      <c r="S18" s="234">
        <f t="shared" si="2"/>
        <v>1764000</v>
      </c>
      <c r="T18" s="234">
        <f t="shared" si="2"/>
        <v>2469600</v>
      </c>
      <c r="U18" s="234">
        <f t="shared" si="2"/>
        <v>3457439.9999999995</v>
      </c>
      <c r="V18" s="234">
        <f t="shared" si="2"/>
        <v>3976055.9999999991</v>
      </c>
      <c r="W18" s="234">
        <f t="shared" si="2"/>
        <v>4572464.3999999994</v>
      </c>
      <c r="X18" s="234">
        <f t="shared" si="2"/>
        <v>5258334.0599999987</v>
      </c>
      <c r="Y18" s="234">
        <f t="shared" si="2"/>
        <v>6047084.1689999979</v>
      </c>
      <c r="Z18" s="234">
        <f t="shared" si="2"/>
        <v>6349438.3774499977</v>
      </c>
      <c r="AA18" s="234">
        <f t="shared" si="2"/>
        <v>4233600</v>
      </c>
      <c r="AB18" s="234">
        <f t="shared" si="2"/>
        <v>3351600</v>
      </c>
      <c r="AC18" s="236"/>
    </row>
    <row r="19" spans="1:29" ht="18.75">
      <c r="A19" s="210"/>
      <c r="B19" s="233" t="s">
        <v>151</v>
      </c>
      <c r="C19" s="233" t="s">
        <v>152</v>
      </c>
      <c r="D19" s="234">
        <f>$D$13*D8</f>
        <v>32000</v>
      </c>
      <c r="E19" s="234">
        <f t="shared" ref="E19:AB19" si="3">$D$13*E8</f>
        <v>72000</v>
      </c>
      <c r="F19" s="234">
        <f t="shared" si="3"/>
        <v>96000</v>
      </c>
      <c r="G19" s="234">
        <f t="shared" si="3"/>
        <v>115200</v>
      </c>
      <c r="H19" s="234">
        <f t="shared" si="3"/>
        <v>128000</v>
      </c>
      <c r="I19" s="234">
        <f t="shared" si="3"/>
        <v>192000</v>
      </c>
      <c r="J19" s="234">
        <f t="shared" si="3"/>
        <v>208000</v>
      </c>
      <c r="K19" s="234">
        <f t="shared" si="3"/>
        <v>192000</v>
      </c>
      <c r="L19" s="234">
        <f t="shared" si="3"/>
        <v>240000</v>
      </c>
      <c r="M19" s="234">
        <f t="shared" si="3"/>
        <v>240000</v>
      </c>
      <c r="N19" s="234">
        <f t="shared" si="3"/>
        <v>160000</v>
      </c>
      <c r="O19" s="234">
        <f t="shared" si="3"/>
        <v>128000</v>
      </c>
      <c r="P19" s="234"/>
      <c r="Q19" s="234">
        <f t="shared" si="3"/>
        <v>144000</v>
      </c>
      <c r="R19" s="234">
        <f t="shared" si="3"/>
        <v>160000</v>
      </c>
      <c r="S19" s="234">
        <f t="shared" si="3"/>
        <v>200000</v>
      </c>
      <c r="T19" s="234">
        <f t="shared" si="3"/>
        <v>280000</v>
      </c>
      <c r="U19" s="234">
        <f t="shared" si="3"/>
        <v>391999.99999999994</v>
      </c>
      <c r="V19" s="234">
        <f t="shared" si="3"/>
        <v>548799.99999999988</v>
      </c>
      <c r="W19" s="234">
        <f t="shared" si="3"/>
        <v>576240</v>
      </c>
      <c r="X19" s="234">
        <f t="shared" si="3"/>
        <v>605052</v>
      </c>
      <c r="Y19" s="234">
        <f t="shared" si="3"/>
        <v>635304.6</v>
      </c>
      <c r="Z19" s="234">
        <f t="shared" si="3"/>
        <v>400000</v>
      </c>
      <c r="AA19" s="234">
        <f t="shared" si="3"/>
        <v>320000</v>
      </c>
      <c r="AB19" s="234">
        <f t="shared" si="3"/>
        <v>320000</v>
      </c>
      <c r="AC19" s="236"/>
    </row>
    <row r="20" spans="1:29" ht="18.75">
      <c r="A20" s="210"/>
      <c r="B20" s="233" t="s">
        <v>153</v>
      </c>
      <c r="C20" s="233" t="s">
        <v>198</v>
      </c>
      <c r="D20" s="234">
        <f>$D$14*D9</f>
        <v>16000</v>
      </c>
      <c r="E20" s="234">
        <f t="shared" ref="E20:AB20" si="4">$D$14*E9</f>
        <v>64000</v>
      </c>
      <c r="F20" s="234">
        <f t="shared" si="4"/>
        <v>120000</v>
      </c>
      <c r="G20" s="234">
        <f t="shared" si="4"/>
        <v>96000</v>
      </c>
      <c r="H20" s="234">
        <f t="shared" si="4"/>
        <v>115199.99999999999</v>
      </c>
      <c r="I20" s="234">
        <f t="shared" si="4"/>
        <v>138239.99999999997</v>
      </c>
      <c r="J20" s="234">
        <f t="shared" si="4"/>
        <v>165887.99999999997</v>
      </c>
      <c r="K20" s="234">
        <f t="shared" si="4"/>
        <v>199065.59999999995</v>
      </c>
      <c r="L20" s="234">
        <f t="shared" si="4"/>
        <v>238878.71999999994</v>
      </c>
      <c r="M20" s="234">
        <f t="shared" si="4"/>
        <v>286654.46399999992</v>
      </c>
      <c r="N20" s="234">
        <f t="shared" si="4"/>
        <v>343985.35679999983</v>
      </c>
      <c r="O20" s="234">
        <f t="shared" si="4"/>
        <v>412782.42815999984</v>
      </c>
      <c r="P20" s="234"/>
      <c r="Q20" s="234">
        <f t="shared" si="4"/>
        <v>360000</v>
      </c>
      <c r="R20" s="234">
        <f t="shared" si="4"/>
        <v>400000</v>
      </c>
      <c r="S20" s="234">
        <f t="shared" si="4"/>
        <v>500000</v>
      </c>
      <c r="T20" s="234">
        <f t="shared" si="4"/>
        <v>525000</v>
      </c>
      <c r="U20" s="234">
        <f t="shared" si="4"/>
        <v>160000</v>
      </c>
      <c r="V20" s="234">
        <f t="shared" si="4"/>
        <v>168000</v>
      </c>
      <c r="W20" s="234">
        <f t="shared" si="4"/>
        <v>176400</v>
      </c>
      <c r="X20" s="234">
        <f t="shared" si="4"/>
        <v>185220.00000000003</v>
      </c>
      <c r="Y20" s="234">
        <f t="shared" si="4"/>
        <v>194481.00000000003</v>
      </c>
      <c r="Z20" s="234">
        <f t="shared" si="4"/>
        <v>204205.05000000002</v>
      </c>
      <c r="AA20" s="234">
        <f t="shared" si="4"/>
        <v>214415.30250000005</v>
      </c>
      <c r="AB20" s="234">
        <f t="shared" si="4"/>
        <v>225136.06762500005</v>
      </c>
      <c r="AC20" s="236"/>
    </row>
    <row r="21" spans="1:29" ht="18.75">
      <c r="A21" s="210"/>
      <c r="B21" s="233"/>
      <c r="C21" s="233"/>
      <c r="D21" s="234" t="s">
        <v>216</v>
      </c>
      <c r="E21" s="234" t="s">
        <v>216</v>
      </c>
      <c r="F21" s="234" t="s">
        <v>216</v>
      </c>
      <c r="G21" s="234" t="s">
        <v>216</v>
      </c>
      <c r="H21" s="234" t="s">
        <v>216</v>
      </c>
      <c r="I21" s="234" t="s">
        <v>216</v>
      </c>
      <c r="J21" s="234" t="s">
        <v>216</v>
      </c>
      <c r="K21" s="234" t="s">
        <v>216</v>
      </c>
      <c r="L21" s="234" t="s">
        <v>216</v>
      </c>
      <c r="M21" s="234" t="s">
        <v>216</v>
      </c>
      <c r="N21" s="234" t="s">
        <v>216</v>
      </c>
      <c r="O21" s="234" t="s">
        <v>216</v>
      </c>
      <c r="P21" s="234" t="s">
        <v>216</v>
      </c>
      <c r="Q21" s="234" t="s">
        <v>216</v>
      </c>
      <c r="R21" s="234" t="s">
        <v>216</v>
      </c>
      <c r="S21" s="234" t="s">
        <v>216</v>
      </c>
      <c r="T21" s="234" t="s">
        <v>216</v>
      </c>
      <c r="U21" s="234" t="s">
        <v>216</v>
      </c>
      <c r="V21" s="234" t="s">
        <v>216</v>
      </c>
      <c r="W21" s="234" t="s">
        <v>216</v>
      </c>
      <c r="X21" s="234" t="s">
        <v>216</v>
      </c>
      <c r="Y21" s="234" t="s">
        <v>216</v>
      </c>
      <c r="Z21" s="234" t="s">
        <v>216</v>
      </c>
      <c r="AA21" s="234" t="s">
        <v>216</v>
      </c>
      <c r="AB21" s="234" t="s">
        <v>216</v>
      </c>
      <c r="AC21" s="236"/>
    </row>
    <row r="22" spans="1:29" ht="18.75">
      <c r="A22" s="210"/>
      <c r="B22" s="233"/>
      <c r="C22" s="233"/>
      <c r="D22" s="234" t="s">
        <v>216</v>
      </c>
      <c r="E22" s="234" t="s">
        <v>216</v>
      </c>
      <c r="F22" s="234" t="s">
        <v>216</v>
      </c>
      <c r="G22" s="234" t="s">
        <v>216</v>
      </c>
      <c r="H22" s="234" t="s">
        <v>216</v>
      </c>
      <c r="I22" s="234" t="s">
        <v>216</v>
      </c>
      <c r="J22" s="234" t="s">
        <v>216</v>
      </c>
      <c r="K22" s="234" t="s">
        <v>216</v>
      </c>
      <c r="L22" s="234" t="s">
        <v>216</v>
      </c>
      <c r="M22" s="234" t="s">
        <v>216</v>
      </c>
      <c r="N22" s="234" t="s">
        <v>216</v>
      </c>
      <c r="O22" s="234" t="s">
        <v>216</v>
      </c>
      <c r="P22" s="234" t="s">
        <v>216</v>
      </c>
      <c r="Q22" s="234" t="s">
        <v>216</v>
      </c>
      <c r="R22" s="234" t="s">
        <v>216</v>
      </c>
      <c r="S22" s="234" t="s">
        <v>216</v>
      </c>
      <c r="T22" s="234" t="s">
        <v>216</v>
      </c>
      <c r="U22" s="234" t="s">
        <v>216</v>
      </c>
      <c r="V22" s="234" t="s">
        <v>216</v>
      </c>
      <c r="W22" s="234" t="s">
        <v>216</v>
      </c>
      <c r="X22" s="234" t="s">
        <v>216</v>
      </c>
      <c r="Y22" s="234" t="s">
        <v>216</v>
      </c>
      <c r="Z22" s="234" t="s">
        <v>216</v>
      </c>
      <c r="AA22" s="234" t="s">
        <v>216</v>
      </c>
      <c r="AB22" s="234" t="s">
        <v>216</v>
      </c>
      <c r="AC22" s="236"/>
    </row>
    <row r="23" spans="1:29" ht="18.75">
      <c r="A23" s="210"/>
      <c r="B23" s="220" t="s">
        <v>154</v>
      </c>
      <c r="C23" s="221"/>
      <c r="D23" s="237">
        <f>SUM(D24:D29)</f>
        <v>47167</v>
      </c>
      <c r="E23" s="238">
        <f t="shared" ref="E23:O23" si="5">SUM(E24:E29)</f>
        <v>124912.8</v>
      </c>
      <c r="F23" s="238">
        <f t="shared" si="5"/>
        <v>159987</v>
      </c>
      <c r="G23" s="238">
        <f t="shared" si="5"/>
        <v>189055.8</v>
      </c>
      <c r="H23" s="238">
        <f t="shared" si="5"/>
        <v>211760.94999999998</v>
      </c>
      <c r="I23" s="238">
        <f t="shared" si="5"/>
        <v>301989.1875</v>
      </c>
      <c r="J23" s="238">
        <f t="shared" si="5"/>
        <v>319626.84687499999</v>
      </c>
      <c r="K23" s="238">
        <f t="shared" si="5"/>
        <v>353217.70921874995</v>
      </c>
      <c r="L23" s="238">
        <f t="shared" si="5"/>
        <v>326611.62067968753</v>
      </c>
      <c r="M23" s="238">
        <f t="shared" si="5"/>
        <v>315249.83291367185</v>
      </c>
      <c r="N23" s="238">
        <f t="shared" si="5"/>
        <v>277255.24999935547</v>
      </c>
      <c r="O23" s="238">
        <f t="shared" si="5"/>
        <v>299113.20302732324</v>
      </c>
      <c r="P23" s="232">
        <f>SUM(D23:O23)</f>
        <v>2925947.2002137881</v>
      </c>
      <c r="Q23" s="238">
        <f>SUM(Q24:Q29)</f>
        <v>239950.18074348941</v>
      </c>
      <c r="R23" s="238">
        <f t="shared" ref="R23:AB23" si="6">SUM(R24:R29)</f>
        <v>362686.70785501285</v>
      </c>
      <c r="S23" s="238">
        <f t="shared" si="6"/>
        <v>447457.71403326473</v>
      </c>
      <c r="T23" s="238">
        <f t="shared" si="6"/>
        <v>583226.37113825441</v>
      </c>
      <c r="U23" s="238">
        <f t="shared" si="6"/>
        <v>710757.82680899254</v>
      </c>
      <c r="V23" s="238">
        <f t="shared" si="6"/>
        <v>834571.50083034125</v>
      </c>
      <c r="W23" s="238">
        <f t="shared" si="6"/>
        <v>946261.22595489258</v>
      </c>
      <c r="X23" s="238">
        <f t="shared" si="6"/>
        <v>1074029.6098481263</v>
      </c>
      <c r="Y23" s="238">
        <f t="shared" si="6"/>
        <v>1220254.7113253453</v>
      </c>
      <c r="Z23" s="238">
        <f t="shared" si="6"/>
        <v>1243549.3824891469</v>
      </c>
      <c r="AA23" s="238">
        <f t="shared" si="6"/>
        <v>920730.30716522969</v>
      </c>
      <c r="AB23" s="238">
        <f t="shared" si="6"/>
        <v>799514.82252349122</v>
      </c>
      <c r="AC23" s="232">
        <f>SUM(Q23:AB23)</f>
        <v>9382990.3607155886</v>
      </c>
    </row>
    <row r="24" spans="1:29" ht="18.75">
      <c r="A24" s="210"/>
      <c r="B24" s="233" t="s">
        <v>155</v>
      </c>
      <c r="C24" s="233" t="s">
        <v>150</v>
      </c>
      <c r="D24" s="234">
        <f>D18*0.15</f>
        <v>38367</v>
      </c>
      <c r="E24" s="235">
        <f t="shared" ref="E24:O24" si="7">E18*0.15</f>
        <v>70912.800000000003</v>
      </c>
      <c r="F24" s="234">
        <f t="shared" si="7"/>
        <v>91287</v>
      </c>
      <c r="G24" s="235">
        <f t="shared" si="7"/>
        <v>118540.79999999999</v>
      </c>
      <c r="H24" s="235">
        <f t="shared" si="7"/>
        <v>134152.19999999998</v>
      </c>
      <c r="I24" s="235">
        <f t="shared" si="7"/>
        <v>206388</v>
      </c>
      <c r="J24" s="235">
        <f t="shared" si="7"/>
        <v>214855.19999999998</v>
      </c>
      <c r="K24" s="235">
        <f t="shared" si="7"/>
        <v>244755</v>
      </c>
      <c r="L24" s="235">
        <f t="shared" si="7"/>
        <v>200566.8</v>
      </c>
      <c r="M24" s="235">
        <f t="shared" si="7"/>
        <v>179928</v>
      </c>
      <c r="N24" s="235">
        <f t="shared" si="7"/>
        <v>147117.6</v>
      </c>
      <c r="O24" s="235">
        <f t="shared" si="7"/>
        <v>162729</v>
      </c>
      <c r="P24" s="236"/>
      <c r="Q24" s="235">
        <f>Q18*0.15</f>
        <v>105840</v>
      </c>
      <c r="R24" s="235">
        <f t="shared" ref="R24:AB24" si="8">R18*0.15</f>
        <v>211680</v>
      </c>
      <c r="S24" s="235">
        <f t="shared" si="8"/>
        <v>264600</v>
      </c>
      <c r="T24" s="235">
        <f t="shared" si="8"/>
        <v>370440</v>
      </c>
      <c r="U24" s="235">
        <f t="shared" si="8"/>
        <v>518615.99999999988</v>
      </c>
      <c r="V24" s="235">
        <f t="shared" si="8"/>
        <v>596408.39999999979</v>
      </c>
      <c r="W24" s="235">
        <f t="shared" si="8"/>
        <v>685869.65999999992</v>
      </c>
      <c r="X24" s="235">
        <f t="shared" si="8"/>
        <v>788750.10899999982</v>
      </c>
      <c r="Y24" s="235">
        <f t="shared" si="8"/>
        <v>907062.62534999964</v>
      </c>
      <c r="Z24" s="235">
        <f t="shared" si="8"/>
        <v>952415.75661749963</v>
      </c>
      <c r="AA24" s="235">
        <f t="shared" si="8"/>
        <v>635040</v>
      </c>
      <c r="AB24" s="235">
        <f t="shared" si="8"/>
        <v>502740</v>
      </c>
      <c r="AC24" s="236"/>
    </row>
    <row r="25" spans="1:29" ht="18.75">
      <c r="A25" s="210"/>
      <c r="B25" s="233" t="s">
        <v>156</v>
      </c>
      <c r="C25" s="233" t="s">
        <v>152</v>
      </c>
      <c r="D25" s="234">
        <f>D19*0.2</f>
        <v>6400</v>
      </c>
      <c r="E25" s="235">
        <f t="shared" ref="E25:O25" si="9">E19*0.2</f>
        <v>14400</v>
      </c>
      <c r="F25" s="234">
        <f t="shared" si="9"/>
        <v>19200</v>
      </c>
      <c r="G25" s="235">
        <f t="shared" si="9"/>
        <v>23040</v>
      </c>
      <c r="H25" s="235">
        <f t="shared" si="9"/>
        <v>25600</v>
      </c>
      <c r="I25" s="235">
        <f t="shared" si="9"/>
        <v>38400</v>
      </c>
      <c r="J25" s="235">
        <f t="shared" si="9"/>
        <v>41600</v>
      </c>
      <c r="K25" s="235">
        <f t="shared" si="9"/>
        <v>38400</v>
      </c>
      <c r="L25" s="235">
        <f t="shared" si="9"/>
        <v>48000</v>
      </c>
      <c r="M25" s="235">
        <f t="shared" si="9"/>
        <v>48000</v>
      </c>
      <c r="N25" s="235">
        <f t="shared" si="9"/>
        <v>32000</v>
      </c>
      <c r="O25" s="235">
        <f t="shared" si="9"/>
        <v>25600</v>
      </c>
      <c r="P25" s="234"/>
      <c r="Q25" s="234">
        <f t="shared" ref="Q25:AB25" si="10">Q19*0.2</f>
        <v>28800</v>
      </c>
      <c r="R25" s="235">
        <f t="shared" si="10"/>
        <v>32000</v>
      </c>
      <c r="S25" s="235">
        <f t="shared" si="10"/>
        <v>40000</v>
      </c>
      <c r="T25" s="235">
        <f t="shared" si="10"/>
        <v>56000</v>
      </c>
      <c r="U25" s="235">
        <f t="shared" si="10"/>
        <v>78399.999999999985</v>
      </c>
      <c r="V25" s="235">
        <f t="shared" si="10"/>
        <v>109759.99999999999</v>
      </c>
      <c r="W25" s="235">
        <f t="shared" si="10"/>
        <v>115248</v>
      </c>
      <c r="X25" s="235">
        <f t="shared" si="10"/>
        <v>121010.40000000001</v>
      </c>
      <c r="Y25" s="235">
        <f t="shared" si="10"/>
        <v>127060.92</v>
      </c>
      <c r="Z25" s="235">
        <f t="shared" si="10"/>
        <v>80000</v>
      </c>
      <c r="AA25" s="235">
        <f t="shared" si="10"/>
        <v>64000</v>
      </c>
      <c r="AB25" s="235">
        <f t="shared" si="10"/>
        <v>64000</v>
      </c>
      <c r="AC25" s="236"/>
    </row>
    <row r="26" spans="1:29" ht="18.75">
      <c r="A26" s="210"/>
      <c r="B26" s="233" t="s">
        <v>157</v>
      </c>
      <c r="C26" s="233" t="s">
        <v>158</v>
      </c>
      <c r="D26" s="234">
        <f>D20*0.15</f>
        <v>2400</v>
      </c>
      <c r="E26" s="235">
        <f t="shared" ref="E26:O26" si="11">E20*0.15</f>
        <v>9600</v>
      </c>
      <c r="F26" s="234">
        <f t="shared" si="11"/>
        <v>18000</v>
      </c>
      <c r="G26" s="235">
        <f t="shared" si="11"/>
        <v>14400</v>
      </c>
      <c r="H26" s="235">
        <f t="shared" si="11"/>
        <v>17279.999999999996</v>
      </c>
      <c r="I26" s="235">
        <f t="shared" si="11"/>
        <v>20735.999999999996</v>
      </c>
      <c r="J26" s="235">
        <f t="shared" si="11"/>
        <v>24883.199999999993</v>
      </c>
      <c r="K26" s="235">
        <f t="shared" si="11"/>
        <v>29859.839999999989</v>
      </c>
      <c r="L26" s="235">
        <f t="shared" si="11"/>
        <v>35831.80799999999</v>
      </c>
      <c r="M26" s="235">
        <f t="shared" si="11"/>
        <v>42998.169599999987</v>
      </c>
      <c r="N26" s="235">
        <f t="shared" si="11"/>
        <v>51597.803519999972</v>
      </c>
      <c r="O26" s="235">
        <f t="shared" si="11"/>
        <v>61917.364223999975</v>
      </c>
      <c r="P26" s="236"/>
      <c r="Q26" s="235">
        <f>Q20*0.15</f>
        <v>54000</v>
      </c>
      <c r="R26" s="235">
        <f t="shared" ref="R26:AB26" si="12">R20*0.15</f>
        <v>60000</v>
      </c>
      <c r="S26" s="235">
        <f t="shared" si="12"/>
        <v>75000</v>
      </c>
      <c r="T26" s="235">
        <f t="shared" si="12"/>
        <v>78750</v>
      </c>
      <c r="U26" s="235">
        <f t="shared" si="12"/>
        <v>24000</v>
      </c>
      <c r="V26" s="235">
        <f t="shared" si="12"/>
        <v>25200</v>
      </c>
      <c r="W26" s="235">
        <f t="shared" si="12"/>
        <v>26460</v>
      </c>
      <c r="X26" s="235">
        <f t="shared" si="12"/>
        <v>27783.000000000004</v>
      </c>
      <c r="Y26" s="235">
        <f t="shared" si="12"/>
        <v>29172.150000000005</v>
      </c>
      <c r="Z26" s="235">
        <f t="shared" si="12"/>
        <v>30630.7575</v>
      </c>
      <c r="AA26" s="235">
        <f t="shared" si="12"/>
        <v>32162.295375000005</v>
      </c>
      <c r="AB26" s="235">
        <f t="shared" si="12"/>
        <v>33770.410143750007</v>
      </c>
      <c r="AC26" s="236"/>
    </row>
    <row r="27" spans="1:29" ht="18.75">
      <c r="A27" s="210"/>
      <c r="B27" s="233"/>
      <c r="C27" s="233"/>
      <c r="D27" s="234" t="s">
        <v>216</v>
      </c>
      <c r="E27" s="234" t="s">
        <v>216</v>
      </c>
      <c r="F27" s="234" t="s">
        <v>216</v>
      </c>
      <c r="G27" s="234" t="s">
        <v>216</v>
      </c>
      <c r="H27" s="234" t="s">
        <v>216</v>
      </c>
      <c r="I27" s="234" t="s">
        <v>216</v>
      </c>
      <c r="J27" s="234" t="s">
        <v>216</v>
      </c>
      <c r="K27" s="234" t="s">
        <v>216</v>
      </c>
      <c r="L27" s="234" t="s">
        <v>216</v>
      </c>
      <c r="M27" s="234" t="s">
        <v>216</v>
      </c>
      <c r="N27" s="234" t="s">
        <v>216</v>
      </c>
      <c r="O27" s="234" t="s">
        <v>216</v>
      </c>
      <c r="P27" s="234" t="s">
        <v>216</v>
      </c>
      <c r="Q27" s="234" t="s">
        <v>216</v>
      </c>
      <c r="R27" s="234" t="s">
        <v>216</v>
      </c>
      <c r="S27" s="234" t="s">
        <v>216</v>
      </c>
      <c r="T27" s="234" t="s">
        <v>216</v>
      </c>
      <c r="U27" s="234" t="s">
        <v>216</v>
      </c>
      <c r="V27" s="234" t="s">
        <v>216</v>
      </c>
      <c r="W27" s="234" t="s">
        <v>216</v>
      </c>
      <c r="X27" s="234" t="s">
        <v>216</v>
      </c>
      <c r="Y27" s="234" t="s">
        <v>216</v>
      </c>
      <c r="Z27" s="234" t="s">
        <v>216</v>
      </c>
      <c r="AA27" s="234" t="s">
        <v>216</v>
      </c>
      <c r="AB27" s="234" t="s">
        <v>216</v>
      </c>
      <c r="AC27" s="236"/>
    </row>
    <row r="28" spans="1:29" ht="18.75">
      <c r="A28" s="210"/>
      <c r="B28" s="233"/>
      <c r="C28" s="233"/>
      <c r="D28" s="234" t="s">
        <v>216</v>
      </c>
      <c r="E28" s="234" t="s">
        <v>216</v>
      </c>
      <c r="F28" s="234" t="s">
        <v>216</v>
      </c>
      <c r="G28" s="234" t="s">
        <v>216</v>
      </c>
      <c r="H28" s="234" t="s">
        <v>216</v>
      </c>
      <c r="I28" s="234" t="s">
        <v>216</v>
      </c>
      <c r="J28" s="234" t="s">
        <v>216</v>
      </c>
      <c r="K28" s="234" t="s">
        <v>216</v>
      </c>
      <c r="L28" s="234" t="s">
        <v>216</v>
      </c>
      <c r="M28" s="234" t="s">
        <v>216</v>
      </c>
      <c r="N28" s="234" t="s">
        <v>216</v>
      </c>
      <c r="O28" s="234" t="s">
        <v>216</v>
      </c>
      <c r="P28" s="234" t="s">
        <v>216</v>
      </c>
      <c r="Q28" s="234" t="s">
        <v>216</v>
      </c>
      <c r="R28" s="234" t="s">
        <v>216</v>
      </c>
      <c r="S28" s="234" t="s">
        <v>216</v>
      </c>
      <c r="T28" s="234" t="s">
        <v>216</v>
      </c>
      <c r="U28" s="234" t="s">
        <v>216</v>
      </c>
      <c r="V28" s="234" t="s">
        <v>216</v>
      </c>
      <c r="W28" s="234" t="s">
        <v>216</v>
      </c>
      <c r="X28" s="234" t="s">
        <v>216</v>
      </c>
      <c r="Y28" s="234" t="s">
        <v>216</v>
      </c>
      <c r="Z28" s="234" t="s">
        <v>216</v>
      </c>
      <c r="AA28" s="234" t="s">
        <v>216</v>
      </c>
      <c r="AB28" s="234" t="s">
        <v>216</v>
      </c>
      <c r="AC28" s="236"/>
    </row>
    <row r="29" spans="1:29" ht="18.75">
      <c r="A29" s="210"/>
      <c r="B29" s="267" t="s">
        <v>199</v>
      </c>
      <c r="C29" s="233" t="s">
        <v>200</v>
      </c>
      <c r="D29" s="234">
        <v>0</v>
      </c>
      <c r="E29" s="235">
        <f>1000000*0.03</f>
        <v>30000</v>
      </c>
      <c r="F29" s="235">
        <f>E29*1.05</f>
        <v>31500</v>
      </c>
      <c r="G29" s="235">
        <f t="shared" ref="G29:O29" si="13">F29*1.05</f>
        <v>33075</v>
      </c>
      <c r="H29" s="235">
        <f t="shared" si="13"/>
        <v>34728.75</v>
      </c>
      <c r="I29" s="235">
        <f t="shared" si="13"/>
        <v>36465.1875</v>
      </c>
      <c r="J29" s="235">
        <f t="shared" si="13"/>
        <v>38288.446875000001</v>
      </c>
      <c r="K29" s="235">
        <f t="shared" si="13"/>
        <v>40202.869218750006</v>
      </c>
      <c r="L29" s="235">
        <f t="shared" si="13"/>
        <v>42213.012679687505</v>
      </c>
      <c r="M29" s="235">
        <f t="shared" si="13"/>
        <v>44323.663313671881</v>
      </c>
      <c r="N29" s="235">
        <f t="shared" si="13"/>
        <v>46539.846479355474</v>
      </c>
      <c r="O29" s="235">
        <f t="shared" si="13"/>
        <v>48866.838803323248</v>
      </c>
      <c r="P29" s="236"/>
      <c r="Q29" s="235">
        <f>O29*1.05</f>
        <v>51310.180743489414</v>
      </c>
      <c r="R29" s="235">
        <f>Q29*1.15</f>
        <v>59006.707855012821</v>
      </c>
      <c r="S29" s="235">
        <f t="shared" ref="S29:Z29" si="14">R29*1.15</f>
        <v>67857.71403326474</v>
      </c>
      <c r="T29" s="235">
        <f t="shared" si="14"/>
        <v>78036.371138254442</v>
      </c>
      <c r="U29" s="235">
        <f t="shared" si="14"/>
        <v>89741.826808992599</v>
      </c>
      <c r="V29" s="235">
        <f t="shared" si="14"/>
        <v>103203.10083034149</v>
      </c>
      <c r="W29" s="235">
        <f t="shared" si="14"/>
        <v>118683.56595489269</v>
      </c>
      <c r="X29" s="235">
        <f t="shared" si="14"/>
        <v>136486.10084812657</v>
      </c>
      <c r="Y29" s="235">
        <f t="shared" si="14"/>
        <v>156959.01597534554</v>
      </c>
      <c r="Z29" s="235">
        <f t="shared" si="14"/>
        <v>180502.86837164735</v>
      </c>
      <c r="AA29" s="235">
        <f>Z29*1.05</f>
        <v>189528.01179022974</v>
      </c>
      <c r="AB29" s="235">
        <f>AA29*1.05</f>
        <v>199004.41237974123</v>
      </c>
      <c r="AC29" s="236"/>
    </row>
    <row r="30" spans="1:29" ht="18.75">
      <c r="A30" s="210">
        <v>2</v>
      </c>
      <c r="B30" s="220" t="s">
        <v>159</v>
      </c>
      <c r="C30" s="221"/>
      <c r="D30" s="237">
        <f>SUM(D34:D35,D32)</f>
        <v>21264.6</v>
      </c>
      <c r="E30" s="238">
        <f t="shared" ref="E30:AB30" si="15">SUM(E34:E35,E32)</f>
        <v>42612.639999999999</v>
      </c>
      <c r="F30" s="238">
        <f t="shared" si="15"/>
        <v>57720.599999999991</v>
      </c>
      <c r="G30" s="238">
        <f t="shared" si="15"/>
        <v>70058.880000000005</v>
      </c>
      <c r="H30" s="238">
        <f t="shared" si="15"/>
        <v>75501.919999999998</v>
      </c>
      <c r="I30" s="238">
        <f t="shared" si="15"/>
        <v>98246.399999999994</v>
      </c>
      <c r="J30" s="238">
        <f t="shared" si="15"/>
        <v>102250.24000000001</v>
      </c>
      <c r="K30" s="238">
        <f t="shared" si="15"/>
        <v>110910.624</v>
      </c>
      <c r="L30" s="238">
        <f t="shared" si="15"/>
        <v>102639.62880000001</v>
      </c>
      <c r="M30" s="238">
        <f t="shared" si="15"/>
        <v>99046.978560000003</v>
      </c>
      <c r="N30" s="238">
        <f t="shared" si="15"/>
        <v>89390.774271999981</v>
      </c>
      <c r="O30" s="238">
        <f t="shared" si="15"/>
        <v>95025.697126399988</v>
      </c>
      <c r="P30" s="232">
        <f>SUM(D30:O30)</f>
        <v>964668.9827583998</v>
      </c>
      <c r="Q30" s="238">
        <f t="shared" si="15"/>
        <v>78384</v>
      </c>
      <c r="R30" s="238">
        <f t="shared" si="15"/>
        <v>108848</v>
      </c>
      <c r="S30" s="238">
        <f t="shared" si="15"/>
        <v>128560</v>
      </c>
      <c r="T30" s="238">
        <f t="shared" si="15"/>
        <v>160984</v>
      </c>
      <c r="U30" s="238">
        <f t="shared" si="15"/>
        <v>190377.59999999998</v>
      </c>
      <c r="V30" s="238">
        <f t="shared" si="15"/>
        <v>217714.23999999996</v>
      </c>
      <c r="W30" s="238">
        <f t="shared" si="15"/>
        <v>243004.17599999998</v>
      </c>
      <c r="X30" s="238">
        <f t="shared" si="15"/>
        <v>271944.24239999999</v>
      </c>
      <c r="Y30" s="238">
        <f t="shared" si="15"/>
        <v>305074.79075999989</v>
      </c>
      <c r="Z30" s="238">
        <f t="shared" si="15"/>
        <v>308145.7370979999</v>
      </c>
      <c r="AA30" s="238">
        <f t="shared" si="15"/>
        <v>220720.6121</v>
      </c>
      <c r="AB30" s="238">
        <f t="shared" si="15"/>
        <v>185869.44270500002</v>
      </c>
      <c r="AC30" s="232">
        <f>SUM(Q30:AB30)</f>
        <v>2419626.8410629993</v>
      </c>
    </row>
    <row r="31" spans="1:29" ht="18.75">
      <c r="A31" s="210"/>
      <c r="B31" s="239"/>
      <c r="C31" s="212" t="s">
        <v>160</v>
      </c>
      <c r="D31" s="234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6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6"/>
    </row>
    <row r="32" spans="1:29" ht="18.75">
      <c r="A32" s="210"/>
      <c r="B32" s="240" t="s">
        <v>161</v>
      </c>
      <c r="C32" s="233" t="s">
        <v>162</v>
      </c>
      <c r="D32" s="234">
        <v>0</v>
      </c>
      <c r="E32" s="235">
        <v>0</v>
      </c>
      <c r="F32" s="235">
        <v>0</v>
      </c>
      <c r="G32" s="235">
        <v>30000</v>
      </c>
      <c r="H32" s="235">
        <v>30000</v>
      </c>
      <c r="I32" s="235">
        <v>30000</v>
      </c>
      <c r="J32" s="235">
        <v>30000</v>
      </c>
      <c r="K32" s="235">
        <v>30000</v>
      </c>
      <c r="L32" s="235">
        <v>30000</v>
      </c>
      <c r="M32" s="235">
        <v>30000</v>
      </c>
      <c r="N32" s="235">
        <v>30000</v>
      </c>
      <c r="O32" s="235">
        <v>30000</v>
      </c>
      <c r="P32" s="236"/>
      <c r="Q32" s="235">
        <v>30000</v>
      </c>
      <c r="R32" s="235">
        <v>30000</v>
      </c>
      <c r="S32" s="235">
        <v>30000</v>
      </c>
      <c r="T32" s="235">
        <v>30000</v>
      </c>
      <c r="U32" s="235">
        <v>30000</v>
      </c>
      <c r="V32" s="235">
        <v>30000</v>
      </c>
      <c r="W32" s="235">
        <v>30000</v>
      </c>
      <c r="X32" s="235">
        <v>30000</v>
      </c>
      <c r="Y32" s="235">
        <v>30000</v>
      </c>
      <c r="Z32" s="235">
        <v>30000</v>
      </c>
      <c r="AA32" s="235">
        <v>30000</v>
      </c>
      <c r="AB32" s="235">
        <v>30000</v>
      </c>
      <c r="AC32" s="236"/>
    </row>
    <row r="33" spans="1:29" ht="18.75">
      <c r="A33" s="210"/>
      <c r="B33" s="233"/>
      <c r="C33" s="233" t="s">
        <v>163</v>
      </c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6"/>
    </row>
    <row r="34" spans="1:29" ht="18.75">
      <c r="A34" s="210"/>
      <c r="B34" s="240" t="s">
        <v>164</v>
      </c>
      <c r="C34" s="233" t="s">
        <v>165</v>
      </c>
      <c r="D34" s="234">
        <f>D17*0.04</f>
        <v>12151.2</v>
      </c>
      <c r="E34" s="235">
        <f t="shared" ref="E34:AB34" si="16">E17*0.04</f>
        <v>24350.080000000002</v>
      </c>
      <c r="F34" s="234">
        <f t="shared" si="16"/>
        <v>32983.199999999997</v>
      </c>
      <c r="G34" s="235">
        <f t="shared" si="16"/>
        <v>40058.879999999997</v>
      </c>
      <c r="H34" s="235">
        <f t="shared" si="16"/>
        <v>45501.919999999998</v>
      </c>
      <c r="I34" s="235">
        <f t="shared" si="16"/>
        <v>68246.399999999994</v>
      </c>
      <c r="J34" s="235">
        <f t="shared" si="16"/>
        <v>72250.240000000005</v>
      </c>
      <c r="K34" s="235">
        <f t="shared" si="16"/>
        <v>80910.623999999996</v>
      </c>
      <c r="L34" s="235">
        <f t="shared" si="16"/>
        <v>72639.628800000006</v>
      </c>
      <c r="M34" s="235">
        <f t="shared" si="16"/>
        <v>69046.978560000003</v>
      </c>
      <c r="N34" s="235">
        <f t="shared" si="16"/>
        <v>59390.774271999988</v>
      </c>
      <c r="O34" s="235">
        <f t="shared" si="16"/>
        <v>65025.697126399995</v>
      </c>
      <c r="P34" s="236"/>
      <c r="Q34" s="235">
        <f t="shared" si="16"/>
        <v>48384</v>
      </c>
      <c r="R34" s="235">
        <f t="shared" si="16"/>
        <v>78848</v>
      </c>
      <c r="S34" s="235">
        <f t="shared" si="16"/>
        <v>98560</v>
      </c>
      <c r="T34" s="235">
        <f t="shared" si="16"/>
        <v>130984</v>
      </c>
      <c r="U34" s="235">
        <f t="shared" si="16"/>
        <v>160377.59999999998</v>
      </c>
      <c r="V34" s="235">
        <f t="shared" si="16"/>
        <v>187714.23999999996</v>
      </c>
      <c r="W34" s="235">
        <f t="shared" si="16"/>
        <v>213004.17599999998</v>
      </c>
      <c r="X34" s="235">
        <f t="shared" si="16"/>
        <v>241944.24239999996</v>
      </c>
      <c r="Y34" s="235">
        <f t="shared" si="16"/>
        <v>275074.79075999989</v>
      </c>
      <c r="Z34" s="235">
        <f t="shared" si="16"/>
        <v>278145.7370979999</v>
      </c>
      <c r="AA34" s="235">
        <f t="shared" si="16"/>
        <v>190720.6121</v>
      </c>
      <c r="AB34" s="235">
        <f t="shared" si="16"/>
        <v>155869.44270500002</v>
      </c>
      <c r="AC34" s="236"/>
    </row>
    <row r="35" spans="1:29" ht="18.75">
      <c r="A35" s="210"/>
      <c r="B35" s="239" t="s">
        <v>166</v>
      </c>
      <c r="C35" s="233" t="s">
        <v>167</v>
      </c>
      <c r="D35" s="234">
        <f>D17*0.03</f>
        <v>9113.4</v>
      </c>
      <c r="E35" s="235">
        <f>E17*0.03</f>
        <v>18262.559999999998</v>
      </c>
      <c r="F35" s="234">
        <f>F17*0.03</f>
        <v>24737.399999999998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6"/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  <c r="AC35" s="236"/>
    </row>
    <row r="36" spans="1:29" ht="18.75">
      <c r="A36" s="210">
        <v>3</v>
      </c>
      <c r="B36" s="220" t="s">
        <v>168</v>
      </c>
      <c r="C36" s="221"/>
      <c r="D36" s="237">
        <f>SUM(D38:D40,D42,D44:D47)</f>
        <v>38170</v>
      </c>
      <c r="E36" s="238">
        <f t="shared" ref="E36:O36" si="17">SUM(E38:E40,E42,E44:E47)</f>
        <v>37170</v>
      </c>
      <c r="F36" s="238">
        <f t="shared" si="17"/>
        <v>37170</v>
      </c>
      <c r="G36" s="238">
        <f t="shared" si="17"/>
        <v>37170</v>
      </c>
      <c r="H36" s="238">
        <f t="shared" si="17"/>
        <v>42170</v>
      </c>
      <c r="I36" s="238">
        <f t="shared" si="17"/>
        <v>47170</v>
      </c>
      <c r="J36" s="238">
        <f t="shared" si="17"/>
        <v>62170</v>
      </c>
      <c r="K36" s="238">
        <f t="shared" si="17"/>
        <v>52170</v>
      </c>
      <c r="L36" s="238">
        <f t="shared" si="17"/>
        <v>47170</v>
      </c>
      <c r="M36" s="238">
        <f t="shared" si="17"/>
        <v>37170</v>
      </c>
      <c r="N36" s="238">
        <f t="shared" si="17"/>
        <v>32170</v>
      </c>
      <c r="O36" s="238">
        <f t="shared" si="17"/>
        <v>27170</v>
      </c>
      <c r="P36" s="232">
        <f>SUM(D36:O36)</f>
        <v>497040</v>
      </c>
      <c r="Q36" s="238">
        <f>SUM(Q38:Q40,Q42,Q44:Q47)</f>
        <v>27170</v>
      </c>
      <c r="R36" s="238">
        <f t="shared" ref="R36:AB36" si="18">SUM(R38:R40,R42,R44:R47)</f>
        <v>27170</v>
      </c>
      <c r="S36" s="238">
        <f t="shared" si="18"/>
        <v>32170</v>
      </c>
      <c r="T36" s="238">
        <f t="shared" si="18"/>
        <v>47170</v>
      </c>
      <c r="U36" s="238">
        <f t="shared" si="18"/>
        <v>47170</v>
      </c>
      <c r="V36" s="238">
        <f t="shared" si="18"/>
        <v>47170</v>
      </c>
      <c r="W36" s="238">
        <f t="shared" si="18"/>
        <v>47170</v>
      </c>
      <c r="X36" s="238">
        <f t="shared" si="18"/>
        <v>47170</v>
      </c>
      <c r="Y36" s="238">
        <f t="shared" si="18"/>
        <v>47170</v>
      </c>
      <c r="Z36" s="238">
        <f t="shared" si="18"/>
        <v>47170</v>
      </c>
      <c r="AA36" s="238">
        <f t="shared" si="18"/>
        <v>47170</v>
      </c>
      <c r="AB36" s="238">
        <f t="shared" si="18"/>
        <v>47170</v>
      </c>
      <c r="AC36" s="232">
        <f>SUM(Q36:AB36)</f>
        <v>511040</v>
      </c>
    </row>
    <row r="37" spans="1:29" ht="18.75">
      <c r="A37" s="210"/>
      <c r="B37" s="239" t="s">
        <v>169</v>
      </c>
      <c r="C37" s="212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6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6"/>
    </row>
    <row r="38" spans="1:29" ht="18.75">
      <c r="A38" s="210"/>
      <c r="B38" s="233" t="s">
        <v>170</v>
      </c>
      <c r="C38" s="241" t="s">
        <v>171</v>
      </c>
      <c r="D38" s="234">
        <v>20000</v>
      </c>
      <c r="E38" s="235">
        <v>20000</v>
      </c>
      <c r="F38" s="235">
        <v>20000</v>
      </c>
      <c r="G38" s="235">
        <v>20000</v>
      </c>
      <c r="H38" s="235">
        <v>25000</v>
      </c>
      <c r="I38" s="235">
        <v>30000</v>
      </c>
      <c r="J38" s="235">
        <v>40000</v>
      </c>
      <c r="K38" s="235">
        <v>30000</v>
      </c>
      <c r="L38" s="235">
        <v>25000</v>
      </c>
      <c r="M38" s="235">
        <v>15000</v>
      </c>
      <c r="N38" s="235">
        <v>10000</v>
      </c>
      <c r="O38" s="235">
        <v>10000</v>
      </c>
      <c r="P38" s="236"/>
      <c r="Q38" s="235">
        <v>10000</v>
      </c>
      <c r="R38" s="235">
        <v>10000</v>
      </c>
      <c r="S38" s="235">
        <v>15000</v>
      </c>
      <c r="T38" s="235">
        <v>30000</v>
      </c>
      <c r="U38" s="235">
        <v>30000</v>
      </c>
      <c r="V38" s="235">
        <v>30000</v>
      </c>
      <c r="W38" s="235">
        <v>30000</v>
      </c>
      <c r="X38" s="235">
        <v>30000</v>
      </c>
      <c r="Y38" s="235">
        <v>30000</v>
      </c>
      <c r="Z38" s="235">
        <v>30000</v>
      </c>
      <c r="AA38" s="235">
        <v>30000</v>
      </c>
      <c r="AB38" s="235">
        <v>30000</v>
      </c>
      <c r="AC38" s="236"/>
    </row>
    <row r="39" spans="1:29" ht="18.75">
      <c r="A39" s="210"/>
      <c r="B39" s="233" t="s">
        <v>172</v>
      </c>
      <c r="C39" s="233" t="s">
        <v>173</v>
      </c>
      <c r="D39" s="234">
        <v>2000</v>
      </c>
      <c r="E39" s="235">
        <v>1000</v>
      </c>
      <c r="F39" s="235">
        <v>1000</v>
      </c>
      <c r="G39" s="235">
        <v>1000</v>
      </c>
      <c r="H39" s="235">
        <v>1000</v>
      </c>
      <c r="I39" s="235">
        <v>1000</v>
      </c>
      <c r="J39" s="235">
        <v>1000</v>
      </c>
      <c r="K39" s="235">
        <v>1000</v>
      </c>
      <c r="L39" s="235">
        <v>1000</v>
      </c>
      <c r="M39" s="235">
        <v>1000</v>
      </c>
      <c r="N39" s="235">
        <v>1000</v>
      </c>
      <c r="O39" s="235">
        <v>1000</v>
      </c>
      <c r="P39" s="236"/>
      <c r="Q39" s="235">
        <v>1000</v>
      </c>
      <c r="R39" s="235">
        <v>1000</v>
      </c>
      <c r="S39" s="235">
        <v>1000</v>
      </c>
      <c r="T39" s="235">
        <v>1000</v>
      </c>
      <c r="U39" s="235">
        <v>1000</v>
      </c>
      <c r="V39" s="235">
        <v>1000</v>
      </c>
      <c r="W39" s="235">
        <v>1000</v>
      </c>
      <c r="X39" s="235">
        <v>1000</v>
      </c>
      <c r="Y39" s="235">
        <v>1000</v>
      </c>
      <c r="Z39" s="235">
        <v>1000</v>
      </c>
      <c r="AA39" s="235">
        <v>1000</v>
      </c>
      <c r="AB39" s="235">
        <v>1000</v>
      </c>
      <c r="AC39" s="236"/>
    </row>
    <row r="40" spans="1:29" ht="18.75">
      <c r="A40" s="210"/>
      <c r="B40" s="233" t="s">
        <v>174</v>
      </c>
      <c r="C40" s="233" t="s">
        <v>175</v>
      </c>
      <c r="D40" s="234">
        <v>5000</v>
      </c>
      <c r="E40" s="235">
        <v>5000</v>
      </c>
      <c r="F40" s="235">
        <v>5000</v>
      </c>
      <c r="G40" s="235">
        <v>5000</v>
      </c>
      <c r="H40" s="235">
        <v>5000</v>
      </c>
      <c r="I40" s="235">
        <v>5000</v>
      </c>
      <c r="J40" s="235">
        <v>10000</v>
      </c>
      <c r="K40" s="235">
        <v>10000</v>
      </c>
      <c r="L40" s="235">
        <v>10000</v>
      </c>
      <c r="M40" s="235">
        <v>10000</v>
      </c>
      <c r="N40" s="235">
        <v>10000</v>
      </c>
      <c r="O40" s="235">
        <v>5000</v>
      </c>
      <c r="P40" s="236"/>
      <c r="Q40" s="235">
        <v>4000</v>
      </c>
      <c r="R40" s="235">
        <v>4000</v>
      </c>
      <c r="S40" s="235">
        <v>4000</v>
      </c>
      <c r="T40" s="235">
        <v>4000</v>
      </c>
      <c r="U40" s="235">
        <v>4000</v>
      </c>
      <c r="V40" s="235">
        <v>4000</v>
      </c>
      <c r="W40" s="235">
        <v>4000</v>
      </c>
      <c r="X40" s="235">
        <v>4000</v>
      </c>
      <c r="Y40" s="235">
        <v>4000</v>
      </c>
      <c r="Z40" s="235">
        <v>4000</v>
      </c>
      <c r="AA40" s="235">
        <v>4000</v>
      </c>
      <c r="AB40" s="235">
        <v>4000</v>
      </c>
      <c r="AC40" s="236"/>
    </row>
    <row r="41" spans="1:29" ht="18.75">
      <c r="A41" s="210"/>
      <c r="B41" s="239" t="s">
        <v>176</v>
      </c>
      <c r="C41" s="212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6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6"/>
    </row>
    <row r="42" spans="1:29" ht="18.75">
      <c r="A42" s="210"/>
      <c r="B42" s="233" t="s">
        <v>177</v>
      </c>
      <c r="C42" s="233" t="s">
        <v>178</v>
      </c>
      <c r="D42" s="234">
        <v>8000</v>
      </c>
      <c r="E42" s="235">
        <v>8000</v>
      </c>
      <c r="F42" s="235">
        <v>8000</v>
      </c>
      <c r="G42" s="235">
        <v>8000</v>
      </c>
      <c r="H42" s="235">
        <v>8000</v>
      </c>
      <c r="I42" s="235">
        <v>8000</v>
      </c>
      <c r="J42" s="235">
        <v>8000</v>
      </c>
      <c r="K42" s="235">
        <v>8000</v>
      </c>
      <c r="L42" s="235">
        <v>8000</v>
      </c>
      <c r="M42" s="235">
        <v>8000</v>
      </c>
      <c r="N42" s="235">
        <v>8000</v>
      </c>
      <c r="O42" s="235">
        <v>8000</v>
      </c>
      <c r="P42" s="236"/>
      <c r="Q42" s="235">
        <v>8500</v>
      </c>
      <c r="R42" s="235">
        <v>8500</v>
      </c>
      <c r="S42" s="235">
        <v>8500</v>
      </c>
      <c r="T42" s="235">
        <v>8500</v>
      </c>
      <c r="U42" s="235">
        <v>8500</v>
      </c>
      <c r="V42" s="235">
        <v>8500</v>
      </c>
      <c r="W42" s="235">
        <v>8500</v>
      </c>
      <c r="X42" s="235">
        <v>8500</v>
      </c>
      <c r="Y42" s="235">
        <v>8500</v>
      </c>
      <c r="Z42" s="235">
        <v>8500</v>
      </c>
      <c r="AA42" s="235">
        <v>8500</v>
      </c>
      <c r="AB42" s="235">
        <v>8500</v>
      </c>
      <c r="AC42" s="236"/>
    </row>
    <row r="43" spans="1:29" ht="18.75">
      <c r="A43" s="210"/>
      <c r="B43" s="239" t="s">
        <v>179</v>
      </c>
      <c r="C43" s="212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6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</row>
    <row r="44" spans="1:29" ht="18.75">
      <c r="A44" s="210"/>
      <c r="B44" s="233" t="s">
        <v>180</v>
      </c>
      <c r="C44" s="233" t="s">
        <v>181</v>
      </c>
      <c r="D44" s="234">
        <v>180</v>
      </c>
      <c r="E44" s="235">
        <v>180</v>
      </c>
      <c r="F44" s="235">
        <v>180</v>
      </c>
      <c r="G44" s="235">
        <v>180</v>
      </c>
      <c r="H44" s="235">
        <v>180</v>
      </c>
      <c r="I44" s="235">
        <v>180</v>
      </c>
      <c r="J44" s="235">
        <v>180</v>
      </c>
      <c r="K44" s="235">
        <v>180</v>
      </c>
      <c r="L44" s="235">
        <v>180</v>
      </c>
      <c r="M44" s="235">
        <v>180</v>
      </c>
      <c r="N44" s="235">
        <v>180</v>
      </c>
      <c r="O44" s="235">
        <v>180</v>
      </c>
      <c r="P44" s="236"/>
      <c r="Q44" s="235">
        <v>180</v>
      </c>
      <c r="R44" s="235">
        <v>180</v>
      </c>
      <c r="S44" s="235">
        <v>180</v>
      </c>
      <c r="T44" s="235">
        <v>180</v>
      </c>
      <c r="U44" s="235">
        <v>180</v>
      </c>
      <c r="V44" s="235">
        <v>180</v>
      </c>
      <c r="W44" s="235">
        <v>180</v>
      </c>
      <c r="X44" s="235">
        <v>180</v>
      </c>
      <c r="Y44" s="235">
        <v>180</v>
      </c>
      <c r="Z44" s="235">
        <v>180</v>
      </c>
      <c r="AA44" s="235">
        <v>180</v>
      </c>
      <c r="AB44" s="235">
        <v>180</v>
      </c>
      <c r="AC44" s="236"/>
    </row>
    <row r="45" spans="1:29" ht="18.75">
      <c r="A45" s="210"/>
      <c r="B45" s="233" t="s">
        <v>182</v>
      </c>
      <c r="C45" s="233" t="s">
        <v>183</v>
      </c>
      <c r="D45" s="234">
        <v>490</v>
      </c>
      <c r="E45" s="235">
        <v>490</v>
      </c>
      <c r="F45" s="235">
        <v>490</v>
      </c>
      <c r="G45" s="235">
        <v>490</v>
      </c>
      <c r="H45" s="235">
        <v>490</v>
      </c>
      <c r="I45" s="235">
        <v>490</v>
      </c>
      <c r="J45" s="235">
        <v>490</v>
      </c>
      <c r="K45" s="235">
        <v>490</v>
      </c>
      <c r="L45" s="235">
        <v>490</v>
      </c>
      <c r="M45" s="235">
        <v>490</v>
      </c>
      <c r="N45" s="235">
        <v>490</v>
      </c>
      <c r="O45" s="235">
        <v>490</v>
      </c>
      <c r="P45" s="236"/>
      <c r="Q45" s="235">
        <v>490</v>
      </c>
      <c r="R45" s="235">
        <v>490</v>
      </c>
      <c r="S45" s="235">
        <v>490</v>
      </c>
      <c r="T45" s="235">
        <v>490</v>
      </c>
      <c r="U45" s="235">
        <v>490</v>
      </c>
      <c r="V45" s="235">
        <v>490</v>
      </c>
      <c r="W45" s="235">
        <v>490</v>
      </c>
      <c r="X45" s="235">
        <v>490</v>
      </c>
      <c r="Y45" s="235">
        <v>490</v>
      </c>
      <c r="Z45" s="235">
        <v>490</v>
      </c>
      <c r="AA45" s="235">
        <v>490</v>
      </c>
      <c r="AB45" s="235">
        <v>490</v>
      </c>
      <c r="AC45" s="236"/>
    </row>
    <row r="46" spans="1:29" ht="18.75">
      <c r="A46" s="210"/>
      <c r="B46" s="233" t="s">
        <v>184</v>
      </c>
      <c r="C46" s="233" t="s">
        <v>185</v>
      </c>
      <c r="D46" s="234">
        <v>500</v>
      </c>
      <c r="E46" s="235">
        <v>500</v>
      </c>
      <c r="F46" s="235">
        <v>500</v>
      </c>
      <c r="G46" s="235">
        <v>500</v>
      </c>
      <c r="H46" s="235">
        <v>500</v>
      </c>
      <c r="I46" s="235">
        <v>500</v>
      </c>
      <c r="J46" s="235">
        <v>500</v>
      </c>
      <c r="K46" s="235">
        <v>500</v>
      </c>
      <c r="L46" s="235">
        <v>500</v>
      </c>
      <c r="M46" s="235">
        <v>500</v>
      </c>
      <c r="N46" s="235">
        <v>500</v>
      </c>
      <c r="O46" s="235">
        <v>500</v>
      </c>
      <c r="P46" s="236"/>
      <c r="Q46" s="235">
        <v>500</v>
      </c>
      <c r="R46" s="235">
        <v>500</v>
      </c>
      <c r="S46" s="235">
        <v>500</v>
      </c>
      <c r="T46" s="235">
        <v>500</v>
      </c>
      <c r="U46" s="235">
        <v>500</v>
      </c>
      <c r="V46" s="235">
        <v>500</v>
      </c>
      <c r="W46" s="235">
        <v>500</v>
      </c>
      <c r="X46" s="235">
        <v>500</v>
      </c>
      <c r="Y46" s="235">
        <v>500</v>
      </c>
      <c r="Z46" s="235">
        <v>500</v>
      </c>
      <c r="AA46" s="235">
        <v>500</v>
      </c>
      <c r="AB46" s="235">
        <v>500</v>
      </c>
      <c r="AC46" s="236"/>
    </row>
    <row r="47" spans="1:29" ht="18.75">
      <c r="A47" s="210"/>
      <c r="B47" s="268" t="s">
        <v>201</v>
      </c>
      <c r="C47" s="269" t="s">
        <v>202</v>
      </c>
      <c r="D47" s="270">
        <v>2000</v>
      </c>
      <c r="E47" s="271">
        <v>2000</v>
      </c>
      <c r="F47" s="271">
        <v>2000</v>
      </c>
      <c r="G47" s="271">
        <v>2000</v>
      </c>
      <c r="H47" s="271">
        <v>2000</v>
      </c>
      <c r="I47" s="271">
        <v>2000</v>
      </c>
      <c r="J47" s="271">
        <v>2000</v>
      </c>
      <c r="K47" s="271">
        <v>2000</v>
      </c>
      <c r="L47" s="271">
        <v>2000</v>
      </c>
      <c r="M47" s="271">
        <v>2000</v>
      </c>
      <c r="N47" s="271">
        <v>2000</v>
      </c>
      <c r="O47" s="271">
        <v>2000</v>
      </c>
      <c r="P47" s="236"/>
      <c r="Q47" s="271">
        <v>2500</v>
      </c>
      <c r="R47" s="271">
        <v>2500</v>
      </c>
      <c r="S47" s="271">
        <v>2500</v>
      </c>
      <c r="T47" s="271">
        <v>2500</v>
      </c>
      <c r="U47" s="271">
        <v>2500</v>
      </c>
      <c r="V47" s="271">
        <v>2500</v>
      </c>
      <c r="W47" s="271">
        <v>2500</v>
      </c>
      <c r="X47" s="271">
        <v>2500</v>
      </c>
      <c r="Y47" s="271">
        <v>2500</v>
      </c>
      <c r="Z47" s="271">
        <v>2500</v>
      </c>
      <c r="AA47" s="271">
        <v>2500</v>
      </c>
      <c r="AB47" s="271">
        <v>2500</v>
      </c>
      <c r="AC47" s="236"/>
    </row>
    <row r="48" spans="1:29" ht="18.75">
      <c r="A48" s="210">
        <v>4</v>
      </c>
      <c r="B48" s="220" t="s">
        <v>186</v>
      </c>
      <c r="C48" s="221"/>
      <c r="D48" s="230">
        <f>D49</f>
        <v>2830.02</v>
      </c>
      <c r="E48" s="231">
        <f t="shared" ref="E48:AB48" si="19">E49</f>
        <v>7494.768</v>
      </c>
      <c r="F48" s="231">
        <f t="shared" si="19"/>
        <v>9599.2199999999993</v>
      </c>
      <c r="G48" s="231">
        <f t="shared" si="19"/>
        <v>11343.347999999998</v>
      </c>
      <c r="H48" s="231">
        <f t="shared" si="19"/>
        <v>12705.656999999999</v>
      </c>
      <c r="I48" s="231">
        <f t="shared" si="19"/>
        <v>18119.35125</v>
      </c>
      <c r="J48" s="231">
        <f t="shared" si="19"/>
        <v>19177.610812499999</v>
      </c>
      <c r="K48" s="231">
        <f t="shared" si="19"/>
        <v>21193.062553124997</v>
      </c>
      <c r="L48" s="231">
        <f t="shared" si="19"/>
        <v>19596.69724078125</v>
      </c>
      <c r="M48" s="231">
        <f t="shared" si="19"/>
        <v>18914.98997482031</v>
      </c>
      <c r="N48" s="231">
        <f t="shared" si="19"/>
        <v>16635.314999961327</v>
      </c>
      <c r="O48" s="231">
        <f t="shared" si="19"/>
        <v>17946.792181639394</v>
      </c>
      <c r="P48" s="232">
        <f>SUM(D48:O48)</f>
        <v>175556.83201282728</v>
      </c>
      <c r="Q48" s="231">
        <f t="shared" si="19"/>
        <v>14397.010844609364</v>
      </c>
      <c r="R48" s="231">
        <f t="shared" si="19"/>
        <v>21761.20247130077</v>
      </c>
      <c r="S48" s="231">
        <f t="shared" si="19"/>
        <v>26847.462841995883</v>
      </c>
      <c r="T48" s="231">
        <f t="shared" si="19"/>
        <v>34993.582268295264</v>
      </c>
      <c r="U48" s="231">
        <f t="shared" si="19"/>
        <v>42645.469608539548</v>
      </c>
      <c r="V48" s="231">
        <f t="shared" si="19"/>
        <v>50074.290049820476</v>
      </c>
      <c r="W48" s="231">
        <f t="shared" si="19"/>
        <v>56775.67355729355</v>
      </c>
      <c r="X48" s="231">
        <f t="shared" si="19"/>
        <v>64441.776590887574</v>
      </c>
      <c r="Y48" s="231">
        <f t="shared" si="19"/>
        <v>73215.282679520722</v>
      </c>
      <c r="Z48" s="231">
        <f t="shared" si="19"/>
        <v>74612.962949348817</v>
      </c>
      <c r="AA48" s="231">
        <f t="shared" si="19"/>
        <v>55243.818429913779</v>
      </c>
      <c r="AB48" s="231">
        <f t="shared" si="19"/>
        <v>47970.889351409474</v>
      </c>
      <c r="AC48" s="232">
        <f>SUM(Q48:AB48)</f>
        <v>562979.42164293514</v>
      </c>
    </row>
    <row r="49" spans="1:29" ht="19.5" thickBot="1">
      <c r="A49" s="210"/>
      <c r="B49" s="242">
        <v>4.0999999999999996</v>
      </c>
      <c r="C49" s="233" t="s">
        <v>187</v>
      </c>
      <c r="D49" s="234">
        <f t="shared" ref="D49:O49" si="20">D23*0.06</f>
        <v>2830.02</v>
      </c>
      <c r="E49" s="235">
        <f>E23*0.06</f>
        <v>7494.768</v>
      </c>
      <c r="F49" s="235">
        <f>F23*0.06</f>
        <v>9599.2199999999993</v>
      </c>
      <c r="G49" s="235">
        <f t="shared" si="20"/>
        <v>11343.347999999998</v>
      </c>
      <c r="H49" s="235">
        <f t="shared" si="20"/>
        <v>12705.656999999999</v>
      </c>
      <c r="I49" s="235">
        <f t="shared" si="20"/>
        <v>18119.35125</v>
      </c>
      <c r="J49" s="235">
        <f t="shared" si="20"/>
        <v>19177.610812499999</v>
      </c>
      <c r="K49" s="235">
        <f t="shared" si="20"/>
        <v>21193.062553124997</v>
      </c>
      <c r="L49" s="235">
        <f t="shared" si="20"/>
        <v>19596.69724078125</v>
      </c>
      <c r="M49" s="235">
        <f t="shared" si="20"/>
        <v>18914.98997482031</v>
      </c>
      <c r="N49" s="235">
        <f t="shared" si="20"/>
        <v>16635.314999961327</v>
      </c>
      <c r="O49" s="235">
        <f t="shared" si="20"/>
        <v>17946.792181639394</v>
      </c>
      <c r="P49" s="236"/>
      <c r="Q49" s="235">
        <f t="shared" ref="Q49:AB49" si="21">Q23*0.06</f>
        <v>14397.010844609364</v>
      </c>
      <c r="R49" s="235">
        <f t="shared" si="21"/>
        <v>21761.20247130077</v>
      </c>
      <c r="S49" s="235">
        <f t="shared" si="21"/>
        <v>26847.462841995883</v>
      </c>
      <c r="T49" s="235">
        <f t="shared" si="21"/>
        <v>34993.582268295264</v>
      </c>
      <c r="U49" s="235">
        <f t="shared" si="21"/>
        <v>42645.469608539548</v>
      </c>
      <c r="V49" s="235">
        <f t="shared" si="21"/>
        <v>50074.290049820476</v>
      </c>
      <c r="W49" s="235">
        <f t="shared" si="21"/>
        <v>56775.67355729355</v>
      </c>
      <c r="X49" s="235">
        <f t="shared" si="21"/>
        <v>64441.776590887574</v>
      </c>
      <c r="Y49" s="235">
        <f t="shared" si="21"/>
        <v>73215.282679520722</v>
      </c>
      <c r="Z49" s="235">
        <f t="shared" si="21"/>
        <v>74612.962949348817</v>
      </c>
      <c r="AA49" s="235">
        <f t="shared" si="21"/>
        <v>55243.818429913779</v>
      </c>
      <c r="AB49" s="235">
        <f t="shared" si="21"/>
        <v>47970.889351409474</v>
      </c>
      <c r="AC49" s="236"/>
    </row>
    <row r="50" spans="1:29" ht="19.5" thickBot="1">
      <c r="A50" s="210"/>
      <c r="B50" s="214" t="s">
        <v>188</v>
      </c>
      <c r="C50" s="215"/>
      <c r="D50" s="243">
        <f t="shared" ref="D50:O50" si="22">D23-SUM(D30,D36,D49)</f>
        <v>-15097.619999999995</v>
      </c>
      <c r="E50" s="244">
        <f t="shared" si="22"/>
        <v>37635.392000000007</v>
      </c>
      <c r="F50" s="244">
        <f t="shared" si="22"/>
        <v>55497.180000000008</v>
      </c>
      <c r="G50" s="244">
        <f t="shared" si="22"/>
        <v>70483.571999999986</v>
      </c>
      <c r="H50" s="244">
        <f t="shared" si="22"/>
        <v>81383.372999999992</v>
      </c>
      <c r="I50" s="244">
        <f>I23-SUM(I30,I36,I49)</f>
        <v>138453.43625</v>
      </c>
      <c r="J50" s="244">
        <f t="shared" si="22"/>
        <v>136028.99606249999</v>
      </c>
      <c r="K50" s="244">
        <f t="shared" si="22"/>
        <v>168944.02266562494</v>
      </c>
      <c r="L50" s="244">
        <f t="shared" si="22"/>
        <v>157205.29463890629</v>
      </c>
      <c r="M50" s="244">
        <f t="shared" si="22"/>
        <v>160117.86437885152</v>
      </c>
      <c r="N50" s="244">
        <f t="shared" si="22"/>
        <v>139059.16072739416</v>
      </c>
      <c r="O50" s="244">
        <f t="shared" si="22"/>
        <v>158970.71371928387</v>
      </c>
      <c r="P50" s="245">
        <f>SUM(D50:O50)</f>
        <v>1288681.3854425608</v>
      </c>
      <c r="Q50" s="244">
        <f t="shared" ref="Q50:AB50" si="23">Q23-SUM(Q30,Q36,Q49)</f>
        <v>119999.16989888005</v>
      </c>
      <c r="R50" s="244">
        <f t="shared" si="23"/>
        <v>204907.50538371206</v>
      </c>
      <c r="S50" s="244">
        <f t="shared" si="23"/>
        <v>259880.25119126885</v>
      </c>
      <c r="T50" s="244">
        <f t="shared" si="23"/>
        <v>340078.78886995919</v>
      </c>
      <c r="U50" s="244">
        <f t="shared" si="23"/>
        <v>430564.75720045302</v>
      </c>
      <c r="V50" s="244">
        <f t="shared" si="23"/>
        <v>519612.97078052076</v>
      </c>
      <c r="W50" s="244">
        <f t="shared" si="23"/>
        <v>599311.376397599</v>
      </c>
      <c r="X50" s="244">
        <f t="shared" si="23"/>
        <v>690473.59085723874</v>
      </c>
      <c r="Y50" s="244">
        <f t="shared" si="23"/>
        <v>794794.63788582478</v>
      </c>
      <c r="Z50" s="244">
        <f t="shared" si="23"/>
        <v>813620.68244179816</v>
      </c>
      <c r="AA50" s="244">
        <f t="shared" si="23"/>
        <v>597595.87663531583</v>
      </c>
      <c r="AB50" s="244">
        <f t="shared" si="23"/>
        <v>518504.49046708172</v>
      </c>
      <c r="AC50" s="245">
        <f>SUM(Q50:AB50)</f>
        <v>5889344.0980096515</v>
      </c>
    </row>
    <row r="51" spans="1:29">
      <c r="A51" s="210"/>
      <c r="B51" s="212"/>
      <c r="C51" s="212"/>
      <c r="D51" s="21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246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126"/>
    </row>
    <row r="52" spans="1:29">
      <c r="A52" s="210"/>
      <c r="B52" s="212"/>
      <c r="C52" s="212"/>
      <c r="D52" s="21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247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126"/>
    </row>
    <row r="53" spans="1:29">
      <c r="A53" s="210">
        <v>5</v>
      </c>
      <c r="B53" s="248" t="s">
        <v>189</v>
      </c>
      <c r="C53" s="248"/>
      <c r="D53" s="249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1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2"/>
    </row>
    <row r="54" spans="1:29">
      <c r="A54" s="210"/>
      <c r="B54" s="212" t="s">
        <v>100</v>
      </c>
      <c r="C54" s="212"/>
      <c r="D54" s="234">
        <v>350000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247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126"/>
    </row>
    <row r="55" spans="1:29">
      <c r="A55" s="210"/>
      <c r="B55" s="212" t="s">
        <v>190</v>
      </c>
      <c r="C55" s="212"/>
      <c r="D55" s="23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247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26"/>
    </row>
    <row r="56" spans="1:29" ht="30.75" customHeight="1">
      <c r="A56" s="210"/>
      <c r="B56" s="212"/>
      <c r="C56" s="253" t="s">
        <v>203</v>
      </c>
      <c r="D56" s="234">
        <v>0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247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126"/>
    </row>
    <row r="57" spans="1:29">
      <c r="A57" s="210"/>
      <c r="B57" s="212"/>
      <c r="C57" s="241" t="s">
        <v>193</v>
      </c>
      <c r="D57" s="234">
        <v>10000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247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126"/>
    </row>
    <row r="58" spans="1:29">
      <c r="A58" s="210"/>
      <c r="B58" s="212"/>
      <c r="C58" s="254" t="s">
        <v>194</v>
      </c>
      <c r="D58" s="234">
        <f>SUM(D54,D56,D57)</f>
        <v>360000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247"/>
      <c r="Q58" s="255">
        <f>D58+O62</f>
        <v>1288681.3854425608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126"/>
    </row>
    <row r="59" spans="1:29" ht="15.75" thickBot="1">
      <c r="A59" s="210"/>
      <c r="B59" s="212"/>
      <c r="C59" s="212"/>
      <c r="D59" s="21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247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126"/>
    </row>
    <row r="60" spans="1:29" ht="19.5" thickBot="1">
      <c r="A60" s="210">
        <v>6</v>
      </c>
      <c r="B60" s="256" t="s">
        <v>195</v>
      </c>
      <c r="C60" s="256"/>
      <c r="D60" s="548">
        <f>P50/D58</f>
        <v>3.5796705151182242</v>
      </c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50"/>
      <c r="Q60" s="549">
        <f>AC50/Q58</f>
        <v>4.5700544483205405</v>
      </c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550"/>
    </row>
    <row r="61" spans="1:29">
      <c r="A61" s="210"/>
      <c r="B61" s="212"/>
      <c r="C61" s="212"/>
      <c r="D61" s="21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246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126"/>
    </row>
    <row r="62" spans="1:29">
      <c r="A62" s="210">
        <v>7</v>
      </c>
      <c r="B62" s="257" t="s">
        <v>196</v>
      </c>
      <c r="C62" s="258">
        <f>0-D58</f>
        <v>-360000</v>
      </c>
      <c r="D62" s="259">
        <f>C62+D50</f>
        <v>-375097.62</v>
      </c>
      <c r="E62" s="259">
        <f t="shared" ref="E62:O62" si="24">D62+E50</f>
        <v>-337462.228</v>
      </c>
      <c r="F62" s="259">
        <f t="shared" si="24"/>
        <v>-281965.04800000001</v>
      </c>
      <c r="G62" s="259">
        <f t="shared" si="24"/>
        <v>-211481.47600000002</v>
      </c>
      <c r="H62" s="259">
        <f t="shared" si="24"/>
        <v>-130098.10300000003</v>
      </c>
      <c r="I62" s="259">
        <f t="shared" si="24"/>
        <v>8355.3332499999669</v>
      </c>
      <c r="J62" s="259">
        <f t="shared" si="24"/>
        <v>144384.32931249996</v>
      </c>
      <c r="K62" s="259">
        <f t="shared" si="24"/>
        <v>313328.35197812493</v>
      </c>
      <c r="L62" s="259">
        <f t="shared" si="24"/>
        <v>470533.64661703119</v>
      </c>
      <c r="M62" s="259">
        <f t="shared" si="24"/>
        <v>630651.51099588268</v>
      </c>
      <c r="N62" s="259">
        <f t="shared" si="24"/>
        <v>769710.67172327684</v>
      </c>
      <c r="O62" s="259">
        <f t="shared" si="24"/>
        <v>928681.38544256077</v>
      </c>
      <c r="P62" s="260"/>
      <c r="Q62" s="259">
        <f>O62+Q50</f>
        <v>1048680.5553414407</v>
      </c>
      <c r="R62" s="259">
        <f t="shared" ref="R62:AB62" si="25">Q62+R50</f>
        <v>1253588.0607251527</v>
      </c>
      <c r="S62" s="259">
        <f t="shared" si="25"/>
        <v>1513468.3119164216</v>
      </c>
      <c r="T62" s="259">
        <f t="shared" si="25"/>
        <v>1853547.1007863809</v>
      </c>
      <c r="U62" s="259">
        <f t="shared" si="25"/>
        <v>2284111.8579868339</v>
      </c>
      <c r="V62" s="259">
        <f t="shared" si="25"/>
        <v>2803724.8287673546</v>
      </c>
      <c r="W62" s="259">
        <f t="shared" si="25"/>
        <v>3403036.2051649536</v>
      </c>
      <c r="X62" s="259">
        <f t="shared" si="25"/>
        <v>4093509.7960221926</v>
      </c>
      <c r="Y62" s="259">
        <f t="shared" si="25"/>
        <v>4888304.4339080174</v>
      </c>
      <c r="Z62" s="259">
        <f t="shared" si="25"/>
        <v>5701925.1163498154</v>
      </c>
      <c r="AA62" s="259">
        <f t="shared" si="25"/>
        <v>6299520.9929851312</v>
      </c>
      <c r="AB62" s="259">
        <f t="shared" si="25"/>
        <v>6818025.483452213</v>
      </c>
      <c r="AC62" s="126"/>
    </row>
    <row r="63" spans="1:29" ht="15.75" thickBot="1">
      <c r="A63" s="127"/>
      <c r="B63" s="261" t="s">
        <v>197</v>
      </c>
      <c r="C63" s="262">
        <f xml:space="preserve"> (C62 + $D58) / $D58</f>
        <v>0</v>
      </c>
      <c r="D63" s="263">
        <f xml:space="preserve"> (D62 + $D58) / $D58</f>
        <v>-4.193783333333332E-2</v>
      </c>
      <c r="E63" s="263">
        <f xml:space="preserve"> (E62 + $D58) / $D58</f>
        <v>6.260492222222222E-2</v>
      </c>
      <c r="F63" s="263">
        <f t="shared" ref="F63:O63" si="26" xml:space="preserve"> (F62 + $D58) / $D58</f>
        <v>0.21676375555555552</v>
      </c>
      <c r="G63" s="263">
        <f t="shared" si="26"/>
        <v>0.4125514555555555</v>
      </c>
      <c r="H63" s="263">
        <f t="shared" si="26"/>
        <v>0.63861638055555547</v>
      </c>
      <c r="I63" s="263">
        <f t="shared" si="26"/>
        <v>1.0232092590277777</v>
      </c>
      <c r="J63" s="263">
        <f t="shared" si="26"/>
        <v>1.4010675814236111</v>
      </c>
      <c r="K63" s="263">
        <f t="shared" si="26"/>
        <v>1.8703565332725693</v>
      </c>
      <c r="L63" s="263">
        <f t="shared" si="26"/>
        <v>2.3070379072695313</v>
      </c>
      <c r="M63" s="263">
        <f t="shared" si="26"/>
        <v>2.751809752766341</v>
      </c>
      <c r="N63" s="263">
        <f t="shared" si="26"/>
        <v>3.1380851992313246</v>
      </c>
      <c r="O63" s="263">
        <f t="shared" si="26"/>
        <v>3.5796705151182242</v>
      </c>
      <c r="P63" s="264"/>
      <c r="Q63" s="263">
        <f t="shared" ref="Q63:AA63" si="27" xml:space="preserve"> (Q62 + $D58) / $D58</f>
        <v>3.9130015426151132</v>
      </c>
      <c r="R63" s="263">
        <f t="shared" si="27"/>
        <v>4.4821890575698689</v>
      </c>
      <c r="S63" s="263">
        <f t="shared" si="27"/>
        <v>5.2040786442122826</v>
      </c>
      <c r="T63" s="263">
        <f t="shared" si="27"/>
        <v>6.148741946628836</v>
      </c>
      <c r="U63" s="263">
        <f t="shared" si="27"/>
        <v>7.3447551610745387</v>
      </c>
      <c r="V63" s="263">
        <f t="shared" si="27"/>
        <v>8.788124524353762</v>
      </c>
      <c r="W63" s="263">
        <f t="shared" si="27"/>
        <v>10.452878347680427</v>
      </c>
      <c r="X63" s="263">
        <f t="shared" si="27"/>
        <v>12.37086054450609</v>
      </c>
      <c r="Y63" s="263">
        <f t="shared" si="27"/>
        <v>14.57862342752227</v>
      </c>
      <c r="Z63" s="263">
        <f t="shared" si="27"/>
        <v>16.838680878749486</v>
      </c>
      <c r="AA63" s="263">
        <f t="shared" si="27"/>
        <v>18.498669424958699</v>
      </c>
      <c r="AB63" s="263">
        <f xml:space="preserve"> (AB62 + $D58) / $D58</f>
        <v>19.938959676256147</v>
      </c>
      <c r="AC63" s="129"/>
    </row>
  </sheetData>
  <mergeCells count="4">
    <mergeCell ref="P2:P3"/>
    <mergeCell ref="AC2:AC3"/>
    <mergeCell ref="D60:P60"/>
    <mergeCell ref="Q60:AC6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C63"/>
  <sheetViews>
    <sheetView workbookViewId="0">
      <selection activeCell="X22" sqref="X22"/>
    </sheetView>
  </sheetViews>
  <sheetFormatPr defaultRowHeight="15"/>
  <cols>
    <col min="2" max="2" width="31.140625" customWidth="1"/>
    <col min="3" max="3" width="40.42578125" customWidth="1"/>
    <col min="4" max="5" width="12.28515625" bestFit="1" customWidth="1"/>
    <col min="6" max="9" width="12.28515625" customWidth="1"/>
    <col min="10" max="15" width="12.28515625" bestFit="1" customWidth="1"/>
    <col min="16" max="16" width="17.7109375" customWidth="1"/>
    <col min="17" max="27" width="12.5703125" bestFit="1" customWidth="1"/>
    <col min="28" max="28" width="13.42578125" bestFit="1" customWidth="1"/>
    <col min="29" max="29" width="16.28515625" customWidth="1"/>
  </cols>
  <sheetData>
    <row r="1" spans="1:29" ht="15.75" thickBot="1">
      <c r="B1" s="78" t="s">
        <v>62</v>
      </c>
    </row>
    <row r="2" spans="1:29" ht="15.75" thickBot="1">
      <c r="A2" s="206"/>
      <c r="B2" s="207" t="s">
        <v>128</v>
      </c>
      <c r="C2" s="207"/>
      <c r="D2" s="208">
        <v>2020</v>
      </c>
      <c r="E2" s="208">
        <v>2020</v>
      </c>
      <c r="F2" s="208">
        <v>2020</v>
      </c>
      <c r="G2" s="209">
        <v>2020</v>
      </c>
      <c r="H2" s="209">
        <v>2020</v>
      </c>
      <c r="I2" s="209">
        <v>2020</v>
      </c>
      <c r="J2" s="209">
        <v>2020</v>
      </c>
      <c r="K2" s="209">
        <v>2020</v>
      </c>
      <c r="L2" s="209">
        <v>2020</v>
      </c>
      <c r="M2" s="209">
        <v>2020</v>
      </c>
      <c r="N2" s="209">
        <v>2020</v>
      </c>
      <c r="O2" s="209">
        <v>2020</v>
      </c>
      <c r="P2" s="546" t="s">
        <v>129</v>
      </c>
      <c r="Q2" s="209">
        <v>2021</v>
      </c>
      <c r="R2" s="209">
        <v>2021</v>
      </c>
      <c r="S2" s="209">
        <v>2021</v>
      </c>
      <c r="T2" s="209">
        <v>2021</v>
      </c>
      <c r="U2" s="209">
        <v>2021</v>
      </c>
      <c r="V2" s="209">
        <v>2021</v>
      </c>
      <c r="W2" s="209">
        <v>2021</v>
      </c>
      <c r="X2" s="209">
        <v>2021</v>
      </c>
      <c r="Y2" s="209">
        <v>2021</v>
      </c>
      <c r="Z2" s="209">
        <v>2021</v>
      </c>
      <c r="AA2" s="209">
        <v>2021</v>
      </c>
      <c r="AB2" s="209">
        <v>2021</v>
      </c>
      <c r="AC2" s="546" t="s">
        <v>130</v>
      </c>
    </row>
    <row r="3" spans="1:29" ht="16.5" thickTop="1" thickBot="1">
      <c r="A3" s="210"/>
      <c r="B3" s="211"/>
      <c r="C3" s="212"/>
      <c r="D3" s="213" t="s">
        <v>131</v>
      </c>
      <c r="E3" s="272" t="s">
        <v>132</v>
      </c>
      <c r="F3" s="213" t="s">
        <v>133</v>
      </c>
      <c r="G3" s="94" t="s">
        <v>134</v>
      </c>
      <c r="H3" s="94" t="s">
        <v>135</v>
      </c>
      <c r="I3" s="94" t="s">
        <v>136</v>
      </c>
      <c r="J3" s="94" t="s">
        <v>137</v>
      </c>
      <c r="K3" s="94" t="s">
        <v>138</v>
      </c>
      <c r="L3" s="94" t="s">
        <v>139</v>
      </c>
      <c r="M3" s="94" t="s">
        <v>140</v>
      </c>
      <c r="N3" s="94" t="s">
        <v>141</v>
      </c>
      <c r="O3" s="94" t="s">
        <v>142</v>
      </c>
      <c r="P3" s="551"/>
      <c r="Q3" s="94" t="s">
        <v>131</v>
      </c>
      <c r="R3" s="94" t="s">
        <v>132</v>
      </c>
      <c r="S3" s="94" t="s">
        <v>133</v>
      </c>
      <c r="T3" s="94" t="s">
        <v>134</v>
      </c>
      <c r="U3" s="94" t="s">
        <v>135</v>
      </c>
      <c r="V3" s="94" t="s">
        <v>136</v>
      </c>
      <c r="W3" s="94" t="s">
        <v>137</v>
      </c>
      <c r="X3" s="94" t="s">
        <v>138</v>
      </c>
      <c r="Y3" s="94" t="s">
        <v>139</v>
      </c>
      <c r="Z3" s="94" t="s">
        <v>140</v>
      </c>
      <c r="AA3" s="94" t="s">
        <v>141</v>
      </c>
      <c r="AB3" s="94" t="s">
        <v>142</v>
      </c>
      <c r="AC3" s="551"/>
    </row>
    <row r="4" spans="1:29">
      <c r="A4" s="210"/>
      <c r="B4" s="214" t="s">
        <v>143</v>
      </c>
      <c r="C4" s="215"/>
      <c r="D4" s="273">
        <v>12.5</v>
      </c>
      <c r="E4" s="274">
        <v>25</v>
      </c>
      <c r="F4" s="273">
        <v>50</v>
      </c>
      <c r="G4" s="274">
        <v>50</v>
      </c>
      <c r="H4" s="274">
        <v>62.5</v>
      </c>
      <c r="I4" s="274">
        <v>75</v>
      </c>
      <c r="J4" s="274">
        <v>75</v>
      </c>
      <c r="K4" s="274">
        <v>75</v>
      </c>
      <c r="L4" s="274">
        <v>75</v>
      </c>
      <c r="M4" s="274">
        <v>75</v>
      </c>
      <c r="N4" s="274">
        <v>75</v>
      </c>
      <c r="O4" s="274">
        <v>75</v>
      </c>
      <c r="P4" s="218"/>
      <c r="Q4" s="274">
        <v>50</v>
      </c>
      <c r="R4" s="274">
        <v>50</v>
      </c>
      <c r="S4" s="274">
        <v>50</v>
      </c>
      <c r="T4" s="274">
        <v>62.5</v>
      </c>
      <c r="U4" s="274">
        <v>112.5</v>
      </c>
      <c r="V4" s="274">
        <v>150</v>
      </c>
      <c r="W4" s="274">
        <v>175</v>
      </c>
      <c r="X4" s="274">
        <v>225</v>
      </c>
      <c r="Y4" s="274">
        <v>225</v>
      </c>
      <c r="Z4" s="274">
        <v>237.5</v>
      </c>
      <c r="AA4" s="274">
        <v>237.5</v>
      </c>
      <c r="AB4" s="274">
        <v>250</v>
      </c>
      <c r="AC4" s="219"/>
    </row>
    <row r="5" spans="1:29">
      <c r="A5" s="210"/>
      <c r="B5" s="211"/>
      <c r="C5" s="212"/>
      <c r="D5" s="213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219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219"/>
    </row>
    <row r="6" spans="1:29">
      <c r="A6" s="210"/>
      <c r="B6" s="220" t="s">
        <v>144</v>
      </c>
      <c r="C6" s="221"/>
      <c r="D6" s="21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219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219"/>
    </row>
    <row r="7" spans="1:29" ht="18.75">
      <c r="A7" s="210"/>
      <c r="B7" s="211"/>
      <c r="C7" s="222" t="s">
        <v>145</v>
      </c>
      <c r="D7" s="266">
        <v>435</v>
      </c>
      <c r="E7" s="226">
        <v>804</v>
      </c>
      <c r="F7" s="266">
        <v>1035</v>
      </c>
      <c r="G7" s="226">
        <v>1344</v>
      </c>
      <c r="H7" s="226">
        <v>1521</v>
      </c>
      <c r="I7" s="226">
        <v>2340</v>
      </c>
      <c r="J7" s="226">
        <v>2436</v>
      </c>
      <c r="K7" s="226">
        <v>2775</v>
      </c>
      <c r="L7" s="226">
        <v>2274</v>
      </c>
      <c r="M7" s="226">
        <v>2040</v>
      </c>
      <c r="N7" s="226">
        <v>1668</v>
      </c>
      <c r="O7" s="226">
        <v>1845</v>
      </c>
      <c r="P7" s="225">
        <f>SUM(D7:O7)</f>
        <v>20517</v>
      </c>
      <c r="Q7" s="226">
        <v>1200</v>
      </c>
      <c r="R7" s="226">
        <v>2400</v>
      </c>
      <c r="S7" s="226">
        <v>3000</v>
      </c>
      <c r="T7" s="226">
        <v>4200</v>
      </c>
      <c r="U7" s="226">
        <v>5879.9999999999991</v>
      </c>
      <c r="V7" s="226">
        <v>6761.9999999999982</v>
      </c>
      <c r="W7" s="226">
        <v>7776.2999999999984</v>
      </c>
      <c r="X7" s="226">
        <v>8942.7449999999972</v>
      </c>
      <c r="Y7" s="226">
        <v>10284.156749999996</v>
      </c>
      <c r="Z7" s="226">
        <v>10798.364587499997</v>
      </c>
      <c r="AA7" s="226">
        <v>7200</v>
      </c>
      <c r="AB7" s="226">
        <v>5700</v>
      </c>
      <c r="AC7" s="227">
        <f>SUM(Q7:AB7)</f>
        <v>74143.566337499986</v>
      </c>
    </row>
    <row r="8" spans="1:29" ht="18.75">
      <c r="A8" s="210"/>
      <c r="B8" s="211"/>
      <c r="C8" s="222" t="s">
        <v>146</v>
      </c>
      <c r="D8" s="266">
        <v>60</v>
      </c>
      <c r="E8" s="226">
        <v>135</v>
      </c>
      <c r="F8" s="266">
        <v>180</v>
      </c>
      <c r="G8" s="226">
        <v>216</v>
      </c>
      <c r="H8" s="226">
        <v>240</v>
      </c>
      <c r="I8" s="226">
        <v>360</v>
      </c>
      <c r="J8" s="226">
        <v>390</v>
      </c>
      <c r="K8" s="226">
        <v>360</v>
      </c>
      <c r="L8" s="226">
        <v>450</v>
      </c>
      <c r="M8" s="226">
        <v>450</v>
      </c>
      <c r="N8" s="226">
        <v>300</v>
      </c>
      <c r="O8" s="226">
        <v>240</v>
      </c>
      <c r="P8" s="225">
        <f>SUM(D8:O8)</f>
        <v>3381</v>
      </c>
      <c r="Q8" s="226">
        <v>270</v>
      </c>
      <c r="R8" s="226">
        <v>300</v>
      </c>
      <c r="S8" s="226">
        <v>375</v>
      </c>
      <c r="T8" s="226">
        <v>525</v>
      </c>
      <c r="U8" s="226">
        <v>734.99999999999989</v>
      </c>
      <c r="V8" s="226">
        <v>1028.9999999999998</v>
      </c>
      <c r="W8" s="226">
        <v>1080.4499999999998</v>
      </c>
      <c r="X8" s="226">
        <v>1134.4724999999999</v>
      </c>
      <c r="Y8" s="226">
        <v>1191.1961249999999</v>
      </c>
      <c r="Z8" s="226">
        <v>750</v>
      </c>
      <c r="AA8" s="226">
        <v>600</v>
      </c>
      <c r="AB8" s="226">
        <v>600</v>
      </c>
      <c r="AC8" s="227">
        <f>SUM(Q8:AB8)</f>
        <v>8590.1186249999992</v>
      </c>
    </row>
    <row r="9" spans="1:29" ht="18.75">
      <c r="A9" s="210"/>
      <c r="B9" s="211"/>
      <c r="C9" s="222" t="s">
        <v>147</v>
      </c>
      <c r="D9" s="266">
        <v>6</v>
      </c>
      <c r="E9" s="226">
        <v>24</v>
      </c>
      <c r="F9" s="266">
        <v>45</v>
      </c>
      <c r="G9" s="226">
        <v>36</v>
      </c>
      <c r="H9" s="226">
        <v>43.199999999999996</v>
      </c>
      <c r="I9" s="226">
        <v>51.839999999999989</v>
      </c>
      <c r="J9" s="226">
        <v>62.207999999999991</v>
      </c>
      <c r="K9" s="226">
        <v>74.649599999999992</v>
      </c>
      <c r="L9" s="226">
        <v>89.579519999999974</v>
      </c>
      <c r="M9" s="226">
        <v>107.49542399999996</v>
      </c>
      <c r="N9" s="226">
        <v>128.99450879999995</v>
      </c>
      <c r="O9" s="226">
        <v>154.79341055999993</v>
      </c>
      <c r="P9" s="227">
        <f>SUM(D9:O9)</f>
        <v>823.76046335999968</v>
      </c>
      <c r="Q9" s="226">
        <v>135</v>
      </c>
      <c r="R9" s="226">
        <v>150</v>
      </c>
      <c r="S9" s="226">
        <v>187.5</v>
      </c>
      <c r="T9" s="226">
        <v>196.875</v>
      </c>
      <c r="U9" s="226">
        <v>60</v>
      </c>
      <c r="V9" s="226">
        <v>63</v>
      </c>
      <c r="W9" s="226">
        <v>66.150000000000006</v>
      </c>
      <c r="X9" s="226">
        <v>69.45750000000001</v>
      </c>
      <c r="Y9" s="226">
        <v>72.930375000000012</v>
      </c>
      <c r="Z9" s="226">
        <v>76.576893750000011</v>
      </c>
      <c r="AA9" s="226">
        <v>80.40573843750002</v>
      </c>
      <c r="AB9" s="226">
        <v>84.426025359375018</v>
      </c>
      <c r="AC9" s="227">
        <f>SUM(Q9:AB9)</f>
        <v>1242.321532546875</v>
      </c>
    </row>
    <row r="10" spans="1:29" ht="18.75">
      <c r="A10" s="210"/>
      <c r="B10" s="211"/>
      <c r="C10" s="275" t="s">
        <v>204</v>
      </c>
      <c r="D10" s="266">
        <v>5</v>
      </c>
      <c r="E10" s="226">
        <f>D10*1.2</f>
        <v>6</v>
      </c>
      <c r="F10" s="226">
        <f t="shared" ref="F10:O11" si="0">E10*1.2</f>
        <v>7.1999999999999993</v>
      </c>
      <c r="G10" s="226">
        <f t="shared" si="0"/>
        <v>8.6399999999999988</v>
      </c>
      <c r="H10" s="226">
        <f t="shared" si="0"/>
        <v>10.367999999999999</v>
      </c>
      <c r="I10" s="226">
        <f t="shared" si="0"/>
        <v>12.441599999999998</v>
      </c>
      <c r="J10" s="226">
        <f t="shared" si="0"/>
        <v>14.929919999999996</v>
      </c>
      <c r="K10" s="226">
        <f t="shared" si="0"/>
        <v>17.915903999999994</v>
      </c>
      <c r="L10" s="226">
        <f t="shared" si="0"/>
        <v>21.499084799999991</v>
      </c>
      <c r="M10" s="226">
        <f t="shared" si="0"/>
        <v>25.798901759999989</v>
      </c>
      <c r="N10" s="226">
        <f t="shared" si="0"/>
        <v>30.958682111999984</v>
      </c>
      <c r="O10" s="226">
        <f t="shared" si="0"/>
        <v>37.150418534399982</v>
      </c>
      <c r="P10" s="227">
        <f>SUM(D10:O10)</f>
        <v>197.90251120639994</v>
      </c>
      <c r="Q10" s="226">
        <v>10</v>
      </c>
      <c r="R10" s="226">
        <v>12</v>
      </c>
      <c r="S10" s="226">
        <f>R10*1.2</f>
        <v>14.399999999999999</v>
      </c>
      <c r="T10" s="226">
        <f t="shared" ref="T10:Z10" si="1">S10*1.2</f>
        <v>17.279999999999998</v>
      </c>
      <c r="U10" s="226">
        <f t="shared" si="1"/>
        <v>20.735999999999997</v>
      </c>
      <c r="V10" s="226">
        <f t="shared" si="1"/>
        <v>24.883199999999995</v>
      </c>
      <c r="W10" s="226">
        <f t="shared" si="1"/>
        <v>29.859839999999991</v>
      </c>
      <c r="X10" s="226">
        <f t="shared" si="1"/>
        <v>35.831807999999988</v>
      </c>
      <c r="Y10" s="226">
        <f t="shared" si="1"/>
        <v>42.998169599999983</v>
      </c>
      <c r="Z10" s="226">
        <f t="shared" si="1"/>
        <v>51.597803519999978</v>
      </c>
      <c r="AA10" s="226">
        <f>Z10*1.05</f>
        <v>54.177693695999977</v>
      </c>
      <c r="AB10" s="226">
        <f>AA10*1.05</f>
        <v>56.886578380799982</v>
      </c>
      <c r="AC10" s="227">
        <f>SUM(Q10:AB10)</f>
        <v>370.65109319679982</v>
      </c>
    </row>
    <row r="11" spans="1:29" ht="18.75">
      <c r="A11" s="210"/>
      <c r="B11" s="211"/>
      <c r="C11" s="275" t="s">
        <v>205</v>
      </c>
      <c r="D11" s="223">
        <v>10</v>
      </c>
      <c r="E11" s="226">
        <f>D11*1.2</f>
        <v>12</v>
      </c>
      <c r="F11" s="226">
        <f t="shared" si="0"/>
        <v>14.399999999999999</v>
      </c>
      <c r="G11" s="226">
        <f t="shared" si="0"/>
        <v>17.279999999999998</v>
      </c>
      <c r="H11" s="226">
        <f t="shared" si="0"/>
        <v>20.735999999999997</v>
      </c>
      <c r="I11" s="226">
        <f t="shared" si="0"/>
        <v>24.883199999999995</v>
      </c>
      <c r="J11" s="226">
        <f t="shared" si="0"/>
        <v>29.859839999999991</v>
      </c>
      <c r="K11" s="226">
        <f t="shared" si="0"/>
        <v>35.831807999999988</v>
      </c>
      <c r="L11" s="226">
        <f t="shared" si="0"/>
        <v>42.998169599999983</v>
      </c>
      <c r="M11" s="226">
        <f t="shared" si="0"/>
        <v>51.597803519999978</v>
      </c>
      <c r="N11" s="226">
        <f t="shared" si="0"/>
        <v>61.917364223999968</v>
      </c>
      <c r="O11" s="226">
        <f t="shared" si="0"/>
        <v>74.300837068799964</v>
      </c>
      <c r="P11" s="227">
        <f>SUM(D11:O11)</f>
        <v>395.80502241279987</v>
      </c>
      <c r="Q11" s="226">
        <v>35</v>
      </c>
      <c r="R11" s="226">
        <f t="shared" ref="R11:W11" si="2">Q11*1.5</f>
        <v>52.5</v>
      </c>
      <c r="S11" s="226">
        <f t="shared" si="2"/>
        <v>78.75</v>
      </c>
      <c r="T11" s="226">
        <f t="shared" si="2"/>
        <v>118.125</v>
      </c>
      <c r="U11" s="226">
        <f t="shared" si="2"/>
        <v>177.1875</v>
      </c>
      <c r="V11" s="226">
        <f t="shared" si="2"/>
        <v>265.78125</v>
      </c>
      <c r="W11" s="226">
        <f t="shared" si="2"/>
        <v>398.671875</v>
      </c>
      <c r="X11" s="226">
        <f>W11*1.1</f>
        <v>438.53906250000006</v>
      </c>
      <c r="Y11" s="226">
        <f>X11*1.1</f>
        <v>482.39296875000008</v>
      </c>
      <c r="Z11" s="226">
        <f>Y11*1.1</f>
        <v>530.63226562500017</v>
      </c>
      <c r="AA11" s="226">
        <f>Z11*1.1</f>
        <v>583.69549218750024</v>
      </c>
      <c r="AB11" s="226">
        <f>AA11*1.1</f>
        <v>642.06504140625032</v>
      </c>
      <c r="AC11" s="227">
        <f>SUM(Q11:AB11)</f>
        <v>3803.3404554687509</v>
      </c>
    </row>
    <row r="12" spans="1:29" ht="18.75">
      <c r="A12" s="210"/>
      <c r="B12" s="211"/>
      <c r="C12" s="282" t="s">
        <v>218</v>
      </c>
      <c r="D12" s="283">
        <f>Параметры!F72</f>
        <v>882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27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7"/>
    </row>
    <row r="13" spans="1:29" ht="18.75">
      <c r="A13" s="210"/>
      <c r="B13" s="211"/>
      <c r="C13" s="282" t="s">
        <v>219</v>
      </c>
      <c r="D13" s="283">
        <f>Параметры!F73</f>
        <v>800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</row>
    <row r="14" spans="1:29" ht="18.75">
      <c r="A14" s="210"/>
      <c r="B14" s="211"/>
      <c r="C14" s="282" t="s">
        <v>220</v>
      </c>
      <c r="D14" s="283">
        <f>Параметры!F74</f>
        <v>4000</v>
      </c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7"/>
    </row>
    <row r="15" spans="1:29" ht="18.75">
      <c r="A15" s="210"/>
      <c r="B15" s="211"/>
      <c r="C15" s="282" t="s">
        <v>221</v>
      </c>
      <c r="D15" s="283">
        <f>Параметры!F75</f>
        <v>5000</v>
      </c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7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7"/>
    </row>
    <row r="16" spans="1:29" ht="18.75">
      <c r="A16" s="210"/>
      <c r="B16" s="211"/>
      <c r="C16" s="282" t="s">
        <v>222</v>
      </c>
      <c r="D16" s="283">
        <f>Параметры!F76</f>
        <v>400</v>
      </c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7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7"/>
    </row>
    <row r="17" spans="1:29" ht="18.75">
      <c r="A17" s="210">
        <v>1</v>
      </c>
      <c r="B17" s="220" t="s">
        <v>148</v>
      </c>
      <c r="C17" s="221"/>
      <c r="D17" s="230">
        <f t="shared" ref="D17:O17" si="3">SUM(D18:D20)</f>
        <v>455670</v>
      </c>
      <c r="E17" s="231">
        <f t="shared" si="3"/>
        <v>913128</v>
      </c>
      <c r="F17" s="231">
        <f t="shared" si="3"/>
        <v>1236870</v>
      </c>
      <c r="G17" s="231">
        <f t="shared" si="3"/>
        <v>1502208</v>
      </c>
      <c r="H17" s="231">
        <f t="shared" si="3"/>
        <v>1706322</v>
      </c>
      <c r="I17" s="231">
        <f t="shared" si="3"/>
        <v>2559240</v>
      </c>
      <c r="J17" s="231">
        <f t="shared" si="3"/>
        <v>2709384</v>
      </c>
      <c r="K17" s="231">
        <f t="shared" si="3"/>
        <v>3034148.4</v>
      </c>
      <c r="L17" s="231">
        <f t="shared" si="3"/>
        <v>2723986.08</v>
      </c>
      <c r="M17" s="231">
        <f t="shared" si="3"/>
        <v>2589261.696</v>
      </c>
      <c r="N17" s="231">
        <f t="shared" si="3"/>
        <v>2227154.0351999998</v>
      </c>
      <c r="O17" s="231">
        <f t="shared" si="3"/>
        <v>2438463.64224</v>
      </c>
      <c r="P17" s="232">
        <f>SUM(D17:O17)</f>
        <v>24095835.853439998</v>
      </c>
      <c r="Q17" s="231">
        <f t="shared" ref="Q17:AB17" si="4">SUM(Q18:Q21)</f>
        <v>1864400</v>
      </c>
      <c r="R17" s="231">
        <f t="shared" si="4"/>
        <v>3016800</v>
      </c>
      <c r="S17" s="231">
        <f t="shared" si="4"/>
        <v>3768000</v>
      </c>
      <c r="T17" s="231">
        <f t="shared" si="4"/>
        <v>4998300</v>
      </c>
      <c r="U17" s="231">
        <f t="shared" si="4"/>
        <v>6117839.9999999991</v>
      </c>
      <c r="V17" s="231">
        <f t="shared" si="4"/>
        <v>7163699.9999999981</v>
      </c>
      <c r="W17" s="231">
        <f t="shared" si="4"/>
        <v>8136955.7999999989</v>
      </c>
      <c r="X17" s="231">
        <f t="shared" si="4"/>
        <v>9252068.1299999952</v>
      </c>
      <c r="Y17" s="231">
        <f t="shared" si="4"/>
        <v>10530295.501499997</v>
      </c>
      <c r="Z17" s="231">
        <f t="shared" si="4"/>
        <v>10688454.158774996</v>
      </c>
      <c r="AA17" s="231">
        <f t="shared" si="4"/>
        <v>7422911.4222300006</v>
      </c>
      <c r="AB17" s="231">
        <f t="shared" si="4"/>
        <v>6129536.9933414999</v>
      </c>
      <c r="AC17" s="232">
        <f>SUM(Q17:AB17)</f>
        <v>79089262.005846485</v>
      </c>
    </row>
    <row r="18" spans="1:29" ht="18.75">
      <c r="A18" s="210"/>
      <c r="B18" s="233" t="s">
        <v>149</v>
      </c>
      <c r="C18" s="233" t="s">
        <v>150</v>
      </c>
      <c r="D18" s="234">
        <f>$D$12*D7</f>
        <v>383670</v>
      </c>
      <c r="E18" s="234">
        <f t="shared" ref="E18:AB18" si="5">$D$12*E7</f>
        <v>709128</v>
      </c>
      <c r="F18" s="234">
        <f t="shared" si="5"/>
        <v>912870</v>
      </c>
      <c r="G18" s="234">
        <f t="shared" si="5"/>
        <v>1185408</v>
      </c>
      <c r="H18" s="234">
        <f t="shared" si="5"/>
        <v>1341522</v>
      </c>
      <c r="I18" s="234">
        <f t="shared" si="5"/>
        <v>2063880</v>
      </c>
      <c r="J18" s="234">
        <f t="shared" si="5"/>
        <v>2148552</v>
      </c>
      <c r="K18" s="234">
        <f t="shared" si="5"/>
        <v>2447550</v>
      </c>
      <c r="L18" s="234">
        <f t="shared" si="5"/>
        <v>2005668</v>
      </c>
      <c r="M18" s="234">
        <f t="shared" si="5"/>
        <v>1799280</v>
      </c>
      <c r="N18" s="234">
        <f t="shared" si="5"/>
        <v>1471176</v>
      </c>
      <c r="O18" s="234">
        <f t="shared" si="5"/>
        <v>1627290</v>
      </c>
      <c r="P18" s="234"/>
      <c r="Q18" s="234">
        <f t="shared" si="5"/>
        <v>1058400</v>
      </c>
      <c r="R18" s="234">
        <f t="shared" si="5"/>
        <v>2116800</v>
      </c>
      <c r="S18" s="234">
        <f t="shared" si="5"/>
        <v>2646000</v>
      </c>
      <c r="T18" s="234">
        <f t="shared" si="5"/>
        <v>3704400</v>
      </c>
      <c r="U18" s="234">
        <f t="shared" si="5"/>
        <v>5186159.9999999991</v>
      </c>
      <c r="V18" s="234">
        <f t="shared" si="5"/>
        <v>5964083.9999999981</v>
      </c>
      <c r="W18" s="234">
        <f t="shared" si="5"/>
        <v>6858696.5999999987</v>
      </c>
      <c r="X18" s="234">
        <f t="shared" si="5"/>
        <v>7887501.0899999971</v>
      </c>
      <c r="Y18" s="234">
        <f t="shared" si="5"/>
        <v>9070626.2534999978</v>
      </c>
      <c r="Z18" s="234">
        <f t="shared" si="5"/>
        <v>9524157.566174997</v>
      </c>
      <c r="AA18" s="234">
        <f t="shared" si="5"/>
        <v>6350400</v>
      </c>
      <c r="AB18" s="234">
        <f t="shared" si="5"/>
        <v>5027400</v>
      </c>
      <c r="AC18" s="236"/>
    </row>
    <row r="19" spans="1:29" ht="18.75">
      <c r="A19" s="210"/>
      <c r="B19" s="233" t="s">
        <v>151</v>
      </c>
      <c r="C19" s="233" t="s">
        <v>152</v>
      </c>
      <c r="D19" s="234">
        <f>$D$13*D8</f>
        <v>48000</v>
      </c>
      <c r="E19" s="234">
        <f t="shared" ref="E19:AB19" si="6">$D$13*E8</f>
        <v>108000</v>
      </c>
      <c r="F19" s="234">
        <f t="shared" si="6"/>
        <v>144000</v>
      </c>
      <c r="G19" s="234">
        <f t="shared" si="6"/>
        <v>172800</v>
      </c>
      <c r="H19" s="234">
        <f t="shared" si="6"/>
        <v>192000</v>
      </c>
      <c r="I19" s="234">
        <f t="shared" si="6"/>
        <v>288000</v>
      </c>
      <c r="J19" s="234">
        <f t="shared" si="6"/>
        <v>312000</v>
      </c>
      <c r="K19" s="234">
        <f t="shared" si="6"/>
        <v>288000</v>
      </c>
      <c r="L19" s="234">
        <f t="shared" si="6"/>
        <v>360000</v>
      </c>
      <c r="M19" s="234">
        <f t="shared" si="6"/>
        <v>360000</v>
      </c>
      <c r="N19" s="234">
        <f t="shared" si="6"/>
        <v>240000</v>
      </c>
      <c r="O19" s="234">
        <f t="shared" si="6"/>
        <v>192000</v>
      </c>
      <c r="P19" s="234"/>
      <c r="Q19" s="234">
        <f t="shared" si="6"/>
        <v>216000</v>
      </c>
      <c r="R19" s="234">
        <f t="shared" si="6"/>
        <v>240000</v>
      </c>
      <c r="S19" s="234">
        <f t="shared" si="6"/>
        <v>300000</v>
      </c>
      <c r="T19" s="234">
        <f t="shared" si="6"/>
        <v>420000</v>
      </c>
      <c r="U19" s="234">
        <f t="shared" si="6"/>
        <v>587999.99999999988</v>
      </c>
      <c r="V19" s="234">
        <f t="shared" si="6"/>
        <v>823199.99999999977</v>
      </c>
      <c r="W19" s="234">
        <f t="shared" si="6"/>
        <v>864359.99999999988</v>
      </c>
      <c r="X19" s="234">
        <f t="shared" si="6"/>
        <v>907577.99999999988</v>
      </c>
      <c r="Y19" s="234">
        <f t="shared" si="6"/>
        <v>952956.89999999991</v>
      </c>
      <c r="Z19" s="234">
        <f t="shared" si="6"/>
        <v>600000</v>
      </c>
      <c r="AA19" s="234">
        <f t="shared" si="6"/>
        <v>480000</v>
      </c>
      <c r="AB19" s="234">
        <f t="shared" si="6"/>
        <v>480000</v>
      </c>
      <c r="AC19" s="236"/>
    </row>
    <row r="20" spans="1:29" ht="18.75">
      <c r="A20" s="210"/>
      <c r="B20" s="233" t="s">
        <v>153</v>
      </c>
      <c r="C20" s="233" t="s">
        <v>198</v>
      </c>
      <c r="D20" s="234">
        <f>$D$14*D9</f>
        <v>24000</v>
      </c>
      <c r="E20" s="234">
        <f t="shared" ref="E20:AB20" si="7">$D$14*E9</f>
        <v>96000</v>
      </c>
      <c r="F20" s="234">
        <f t="shared" si="7"/>
        <v>180000</v>
      </c>
      <c r="G20" s="234">
        <f t="shared" si="7"/>
        <v>144000</v>
      </c>
      <c r="H20" s="234">
        <f t="shared" si="7"/>
        <v>172799.99999999997</v>
      </c>
      <c r="I20" s="234">
        <f t="shared" si="7"/>
        <v>207359.99999999997</v>
      </c>
      <c r="J20" s="234">
        <f t="shared" si="7"/>
        <v>248831.99999999997</v>
      </c>
      <c r="K20" s="234">
        <f t="shared" si="7"/>
        <v>298598.39999999997</v>
      </c>
      <c r="L20" s="234">
        <f t="shared" si="7"/>
        <v>358318.0799999999</v>
      </c>
      <c r="M20" s="234">
        <f t="shared" si="7"/>
        <v>429981.69599999982</v>
      </c>
      <c r="N20" s="234">
        <f t="shared" si="7"/>
        <v>515978.03519999981</v>
      </c>
      <c r="O20" s="234">
        <f t="shared" si="7"/>
        <v>619173.64223999972</v>
      </c>
      <c r="P20" s="234"/>
      <c r="Q20" s="234">
        <f t="shared" si="7"/>
        <v>540000</v>
      </c>
      <c r="R20" s="234">
        <f t="shared" si="7"/>
        <v>600000</v>
      </c>
      <c r="S20" s="234">
        <f t="shared" si="7"/>
        <v>750000</v>
      </c>
      <c r="T20" s="234">
        <f t="shared" si="7"/>
        <v>787500</v>
      </c>
      <c r="U20" s="234">
        <f t="shared" si="7"/>
        <v>240000</v>
      </c>
      <c r="V20" s="234">
        <f t="shared" si="7"/>
        <v>252000</v>
      </c>
      <c r="W20" s="234">
        <f t="shared" si="7"/>
        <v>264600</v>
      </c>
      <c r="X20" s="234">
        <f t="shared" si="7"/>
        <v>277830.00000000006</v>
      </c>
      <c r="Y20" s="234">
        <f t="shared" si="7"/>
        <v>291721.50000000006</v>
      </c>
      <c r="Z20" s="234">
        <f t="shared" si="7"/>
        <v>306307.57500000007</v>
      </c>
      <c r="AA20" s="234">
        <f t="shared" si="7"/>
        <v>321622.9537500001</v>
      </c>
      <c r="AB20" s="234">
        <f t="shared" si="7"/>
        <v>337704.1014375001</v>
      </c>
      <c r="AC20" s="236"/>
    </row>
    <row r="21" spans="1:29" ht="18.75">
      <c r="A21" s="210"/>
      <c r="B21" s="233" t="s">
        <v>206</v>
      </c>
      <c r="C21" s="233" t="s">
        <v>207</v>
      </c>
      <c r="D21" s="234">
        <f>$D$15*D10</f>
        <v>25000</v>
      </c>
      <c r="E21" s="234">
        <f t="shared" ref="E21:AB21" si="8">$D$15*E10</f>
        <v>30000</v>
      </c>
      <c r="F21" s="234">
        <f t="shared" si="8"/>
        <v>36000</v>
      </c>
      <c r="G21" s="234">
        <f t="shared" si="8"/>
        <v>43199.999999999993</v>
      </c>
      <c r="H21" s="234">
        <f>$D$15*H10</f>
        <v>51839.999999999993</v>
      </c>
      <c r="I21" s="234">
        <f t="shared" si="8"/>
        <v>62207.999999999985</v>
      </c>
      <c r="J21" s="234">
        <f t="shared" si="8"/>
        <v>74649.599999999977</v>
      </c>
      <c r="K21" s="234">
        <f t="shared" si="8"/>
        <v>89579.519999999975</v>
      </c>
      <c r="L21" s="234">
        <f t="shared" si="8"/>
        <v>107495.42399999996</v>
      </c>
      <c r="M21" s="234">
        <f t="shared" si="8"/>
        <v>128994.50879999995</v>
      </c>
      <c r="N21" s="234">
        <f t="shared" si="8"/>
        <v>154793.41055999993</v>
      </c>
      <c r="O21" s="234">
        <f t="shared" si="8"/>
        <v>185752.09267199991</v>
      </c>
      <c r="P21" s="234"/>
      <c r="Q21" s="234">
        <f t="shared" si="8"/>
        <v>50000</v>
      </c>
      <c r="R21" s="234">
        <f t="shared" si="8"/>
        <v>60000</v>
      </c>
      <c r="S21" s="234">
        <f t="shared" si="8"/>
        <v>72000</v>
      </c>
      <c r="T21" s="234">
        <f t="shared" si="8"/>
        <v>86399.999999999985</v>
      </c>
      <c r="U21" s="234">
        <f t="shared" si="8"/>
        <v>103679.99999999999</v>
      </c>
      <c r="V21" s="234">
        <f t="shared" si="8"/>
        <v>124415.99999999997</v>
      </c>
      <c r="W21" s="234">
        <f t="shared" si="8"/>
        <v>149299.19999999995</v>
      </c>
      <c r="X21" s="234">
        <f>$D$15*X10</f>
        <v>179159.03999999995</v>
      </c>
      <c r="Y21" s="234">
        <f t="shared" si="8"/>
        <v>214990.84799999991</v>
      </c>
      <c r="Z21" s="234">
        <f t="shared" si="8"/>
        <v>257989.0175999999</v>
      </c>
      <c r="AA21" s="234">
        <f t="shared" si="8"/>
        <v>270888.46847999986</v>
      </c>
      <c r="AB21" s="234">
        <f t="shared" si="8"/>
        <v>284432.8919039999</v>
      </c>
      <c r="AC21" s="236"/>
    </row>
    <row r="22" spans="1:29" ht="18.75">
      <c r="A22" s="210"/>
      <c r="B22" s="233" t="s">
        <v>208</v>
      </c>
      <c r="C22" s="269" t="s">
        <v>209</v>
      </c>
      <c r="D22" s="234">
        <f>$D$16*D11</f>
        <v>4000</v>
      </c>
      <c r="E22" s="234">
        <f t="shared" ref="E22:AB22" si="9">$D$16*E11</f>
        <v>4800</v>
      </c>
      <c r="F22" s="234">
        <f t="shared" si="9"/>
        <v>5759.9999999999991</v>
      </c>
      <c r="G22" s="234">
        <f t="shared" si="9"/>
        <v>6911.9999999999991</v>
      </c>
      <c r="H22" s="234">
        <f t="shared" si="9"/>
        <v>8294.4</v>
      </c>
      <c r="I22" s="234">
        <f t="shared" si="9"/>
        <v>9953.2799999999988</v>
      </c>
      <c r="J22" s="234">
        <f t="shared" si="9"/>
        <v>11943.935999999996</v>
      </c>
      <c r="K22" s="234">
        <f t="shared" si="9"/>
        <v>14332.723199999995</v>
      </c>
      <c r="L22" s="234">
        <f t="shared" si="9"/>
        <v>17199.267839999993</v>
      </c>
      <c r="M22" s="234">
        <f t="shared" si="9"/>
        <v>20639.121407999992</v>
      </c>
      <c r="N22" s="234">
        <f t="shared" si="9"/>
        <v>24766.945689599987</v>
      </c>
      <c r="O22" s="234">
        <f t="shared" si="9"/>
        <v>29720.334827519986</v>
      </c>
      <c r="P22" s="234"/>
      <c r="Q22" s="234">
        <f t="shared" si="9"/>
        <v>14000</v>
      </c>
      <c r="R22" s="234">
        <f t="shared" si="9"/>
        <v>21000</v>
      </c>
      <c r="S22" s="234">
        <f t="shared" si="9"/>
        <v>31500</v>
      </c>
      <c r="T22" s="234">
        <f t="shared" si="9"/>
        <v>47250</v>
      </c>
      <c r="U22" s="234">
        <f t="shared" si="9"/>
        <v>70875</v>
      </c>
      <c r="V22" s="234">
        <f t="shared" si="9"/>
        <v>106312.5</v>
      </c>
      <c r="W22" s="234">
        <f t="shared" si="9"/>
        <v>159468.75</v>
      </c>
      <c r="X22" s="234">
        <f t="shared" si="9"/>
        <v>175415.62500000003</v>
      </c>
      <c r="Y22" s="234">
        <f t="shared" si="9"/>
        <v>192957.18750000003</v>
      </c>
      <c r="Z22" s="234">
        <f t="shared" si="9"/>
        <v>212252.90625000006</v>
      </c>
      <c r="AA22" s="234">
        <f t="shared" si="9"/>
        <v>233478.19687500008</v>
      </c>
      <c r="AB22" s="234">
        <f t="shared" si="9"/>
        <v>256826.01656250012</v>
      </c>
      <c r="AC22" s="236"/>
    </row>
    <row r="23" spans="1:29" ht="18.75">
      <c r="A23" s="210"/>
      <c r="B23" s="220" t="s">
        <v>154</v>
      </c>
      <c r="C23" s="221"/>
      <c r="D23" s="237">
        <f t="shared" ref="D23:O23" si="10">SUM(D24:D29)</f>
        <v>75500.5</v>
      </c>
      <c r="E23" s="238">
        <f t="shared" si="10"/>
        <v>208069.2</v>
      </c>
      <c r="F23" s="237">
        <f t="shared" si="10"/>
        <v>262570.5</v>
      </c>
      <c r="G23" s="238">
        <f t="shared" si="10"/>
        <v>308329.19999999995</v>
      </c>
      <c r="H23" s="238">
        <f t="shared" si="10"/>
        <v>344855.39999999997</v>
      </c>
      <c r="I23" s="238">
        <f t="shared" si="10"/>
        <v>483035.89500000002</v>
      </c>
      <c r="J23" s="238">
        <f t="shared" si="10"/>
        <v>512767.91774999996</v>
      </c>
      <c r="K23" s="238">
        <f t="shared" si="10"/>
        <v>566948.10723750002</v>
      </c>
      <c r="L23" s="238">
        <f t="shared" si="10"/>
        <v>531448.06791937503</v>
      </c>
      <c r="M23" s="238">
        <f t="shared" si="10"/>
        <v>519545.53769934369</v>
      </c>
      <c r="N23" s="238">
        <f t="shared" si="10"/>
        <v>468563.54624511092</v>
      </c>
      <c r="O23" s="238">
        <f t="shared" si="10"/>
        <v>508396.12155032641</v>
      </c>
      <c r="P23" s="232">
        <f>SUM(D23:O23)</f>
        <v>4790029.9934016559</v>
      </c>
      <c r="Q23" s="238">
        <f t="shared" ref="Q23:AB23" si="11">SUM(Q24:Q29)</f>
        <v>396580.36148697883</v>
      </c>
      <c r="R23" s="238">
        <f t="shared" si="11"/>
        <v>577521.37956132775</v>
      </c>
      <c r="S23" s="238">
        <f t="shared" si="11"/>
        <v>701213.94853939419</v>
      </c>
      <c r="T23" s="238">
        <f t="shared" si="11"/>
        <v>901353.39596636384</v>
      </c>
      <c r="U23" s="238">
        <f t="shared" si="11"/>
        <v>1089530.4407646819</v>
      </c>
      <c r="V23" s="238">
        <f t="shared" si="11"/>
        <v>1273265.6003029158</v>
      </c>
      <c r="W23" s="238">
        <f t="shared" si="11"/>
        <v>1441149.6565680616</v>
      </c>
      <c r="X23" s="238">
        <f t="shared" si="11"/>
        <v>1621440.1797714643</v>
      </c>
      <c r="Y23" s="238">
        <f t="shared" si="11"/>
        <v>1827048.4788225379</v>
      </c>
      <c r="Z23" s="238">
        <f t="shared" si="11"/>
        <v>1845529.2126874146</v>
      </c>
      <c r="AA23" s="238">
        <f t="shared" si="11"/>
        <v>1362964.0179773488</v>
      </c>
      <c r="AB23" s="238">
        <f t="shared" si="11"/>
        <v>1183152.6963371537</v>
      </c>
      <c r="AC23" s="232">
        <f>SUM(Q23:AB23)</f>
        <v>14220749.368785644</v>
      </c>
    </row>
    <row r="24" spans="1:29" ht="18.75">
      <c r="A24" s="210"/>
      <c r="B24" s="233" t="s">
        <v>155</v>
      </c>
      <c r="C24" s="233" t="s">
        <v>150</v>
      </c>
      <c r="D24" s="234">
        <f>D18*0.15</f>
        <v>57550.5</v>
      </c>
      <c r="E24" s="235">
        <f t="shared" ref="E24:O24" si="12">E18*0.15</f>
        <v>106369.2</v>
      </c>
      <c r="F24" s="234">
        <f t="shared" si="12"/>
        <v>136930.5</v>
      </c>
      <c r="G24" s="235">
        <f t="shared" si="12"/>
        <v>177811.19999999998</v>
      </c>
      <c r="H24" s="235">
        <f t="shared" si="12"/>
        <v>201228.3</v>
      </c>
      <c r="I24" s="235">
        <f t="shared" si="12"/>
        <v>309582</v>
      </c>
      <c r="J24" s="235">
        <f t="shared" si="12"/>
        <v>322282.8</v>
      </c>
      <c r="K24" s="235">
        <f t="shared" si="12"/>
        <v>367132.5</v>
      </c>
      <c r="L24" s="235">
        <f t="shared" si="12"/>
        <v>300850.2</v>
      </c>
      <c r="M24" s="235">
        <f t="shared" si="12"/>
        <v>269892</v>
      </c>
      <c r="N24" s="235">
        <f t="shared" si="12"/>
        <v>220676.4</v>
      </c>
      <c r="O24" s="235">
        <f t="shared" si="12"/>
        <v>244093.5</v>
      </c>
      <c r="P24" s="236"/>
      <c r="Q24" s="235">
        <f>Q18*0.15</f>
        <v>158760</v>
      </c>
      <c r="R24" s="235">
        <f t="shared" ref="R24:AB24" si="13">R18*0.15</f>
        <v>317520</v>
      </c>
      <c r="S24" s="235">
        <f t="shared" si="13"/>
        <v>396900</v>
      </c>
      <c r="T24" s="235">
        <f t="shared" si="13"/>
        <v>555660</v>
      </c>
      <c r="U24" s="235">
        <f t="shared" si="13"/>
        <v>777923.99999999988</v>
      </c>
      <c r="V24" s="235">
        <f t="shared" si="13"/>
        <v>894612.59999999974</v>
      </c>
      <c r="W24" s="235">
        <f t="shared" si="13"/>
        <v>1028804.4899999998</v>
      </c>
      <c r="X24" s="235">
        <f t="shared" si="13"/>
        <v>1183125.1634999996</v>
      </c>
      <c r="Y24" s="235">
        <f t="shared" si="13"/>
        <v>1360593.9380249996</v>
      </c>
      <c r="Z24" s="235">
        <f t="shared" si="13"/>
        <v>1428623.6349262495</v>
      </c>
      <c r="AA24" s="235">
        <f t="shared" si="13"/>
        <v>952560</v>
      </c>
      <c r="AB24" s="235">
        <f t="shared" si="13"/>
        <v>754110</v>
      </c>
      <c r="AC24" s="236"/>
    </row>
    <row r="25" spans="1:29" ht="18.75">
      <c r="A25" s="210"/>
      <c r="B25" s="233" t="s">
        <v>156</v>
      </c>
      <c r="C25" s="233" t="s">
        <v>152</v>
      </c>
      <c r="D25" s="234">
        <f>D19*0.2</f>
        <v>9600</v>
      </c>
      <c r="E25" s="235">
        <f t="shared" ref="E25:O25" si="14">E19*0.2</f>
        <v>21600</v>
      </c>
      <c r="F25" s="234">
        <f t="shared" si="14"/>
        <v>28800</v>
      </c>
      <c r="G25" s="235">
        <f t="shared" si="14"/>
        <v>34560</v>
      </c>
      <c r="H25" s="235">
        <f t="shared" si="14"/>
        <v>38400</v>
      </c>
      <c r="I25" s="235">
        <f t="shared" si="14"/>
        <v>57600</v>
      </c>
      <c r="J25" s="235">
        <f t="shared" si="14"/>
        <v>62400</v>
      </c>
      <c r="K25" s="235">
        <f t="shared" si="14"/>
        <v>57600</v>
      </c>
      <c r="L25" s="235">
        <f t="shared" si="14"/>
        <v>72000</v>
      </c>
      <c r="M25" s="235">
        <f t="shared" si="14"/>
        <v>72000</v>
      </c>
      <c r="N25" s="235">
        <f t="shared" si="14"/>
        <v>48000</v>
      </c>
      <c r="O25" s="235">
        <f t="shared" si="14"/>
        <v>38400</v>
      </c>
      <c r="P25" s="236"/>
      <c r="Q25" s="235">
        <f>Q19*0.2</f>
        <v>43200</v>
      </c>
      <c r="R25" s="235">
        <f t="shared" ref="R25:AB25" si="15">R19*0.2</f>
        <v>48000</v>
      </c>
      <c r="S25" s="235">
        <f t="shared" si="15"/>
        <v>60000</v>
      </c>
      <c r="T25" s="235">
        <f t="shared" si="15"/>
        <v>84000</v>
      </c>
      <c r="U25" s="235">
        <f t="shared" si="15"/>
        <v>117599.99999999999</v>
      </c>
      <c r="V25" s="235">
        <f t="shared" si="15"/>
        <v>164639.99999999997</v>
      </c>
      <c r="W25" s="235">
        <f t="shared" si="15"/>
        <v>172872</v>
      </c>
      <c r="X25" s="235">
        <f t="shared" si="15"/>
        <v>181515.59999999998</v>
      </c>
      <c r="Y25" s="235">
        <f t="shared" si="15"/>
        <v>190591.38</v>
      </c>
      <c r="Z25" s="235">
        <f t="shared" si="15"/>
        <v>120000</v>
      </c>
      <c r="AA25" s="235">
        <f t="shared" si="15"/>
        <v>96000</v>
      </c>
      <c r="AB25" s="235">
        <f t="shared" si="15"/>
        <v>96000</v>
      </c>
      <c r="AC25" s="236"/>
    </row>
    <row r="26" spans="1:29" ht="18.75">
      <c r="A26" s="210"/>
      <c r="B26" s="233" t="s">
        <v>157</v>
      </c>
      <c r="C26" s="233" t="s">
        <v>158</v>
      </c>
      <c r="D26" s="234">
        <f t="shared" ref="D26:O27" si="16">D20*0.15</f>
        <v>3600</v>
      </c>
      <c r="E26" s="235">
        <f t="shared" si="16"/>
        <v>14400</v>
      </c>
      <c r="F26" s="234">
        <f t="shared" si="16"/>
        <v>27000</v>
      </c>
      <c r="G26" s="235">
        <f t="shared" si="16"/>
        <v>21600</v>
      </c>
      <c r="H26" s="235">
        <f t="shared" si="16"/>
        <v>25919.999999999996</v>
      </c>
      <c r="I26" s="235">
        <f t="shared" si="16"/>
        <v>31103.999999999993</v>
      </c>
      <c r="J26" s="235">
        <f t="shared" si="16"/>
        <v>37324.799999999996</v>
      </c>
      <c r="K26" s="235">
        <f t="shared" si="16"/>
        <v>44789.759999999995</v>
      </c>
      <c r="L26" s="235">
        <f t="shared" si="16"/>
        <v>53747.711999999985</v>
      </c>
      <c r="M26" s="235">
        <f t="shared" si="16"/>
        <v>64497.254399999969</v>
      </c>
      <c r="N26" s="235">
        <f t="shared" si="16"/>
        <v>77396.705279999966</v>
      </c>
      <c r="O26" s="235">
        <f t="shared" si="16"/>
        <v>92876.046335999956</v>
      </c>
      <c r="P26" s="236"/>
      <c r="Q26" s="235">
        <f t="shared" ref="Q26:AB27" si="17">Q20*0.15</f>
        <v>81000</v>
      </c>
      <c r="R26" s="235">
        <f t="shared" si="17"/>
        <v>90000</v>
      </c>
      <c r="S26" s="235">
        <f t="shared" si="17"/>
        <v>112500</v>
      </c>
      <c r="T26" s="235">
        <f t="shared" si="17"/>
        <v>118125</v>
      </c>
      <c r="U26" s="235">
        <f t="shared" si="17"/>
        <v>36000</v>
      </c>
      <c r="V26" s="235">
        <f t="shared" si="17"/>
        <v>37800</v>
      </c>
      <c r="W26" s="235">
        <f t="shared" si="17"/>
        <v>39690</v>
      </c>
      <c r="X26" s="235">
        <f t="shared" si="17"/>
        <v>41674.500000000007</v>
      </c>
      <c r="Y26" s="235">
        <f t="shared" si="17"/>
        <v>43758.225000000006</v>
      </c>
      <c r="Z26" s="235">
        <f t="shared" si="17"/>
        <v>45946.13625000001</v>
      </c>
      <c r="AA26" s="235">
        <f t="shared" si="17"/>
        <v>48243.443062500017</v>
      </c>
      <c r="AB26" s="235">
        <f t="shared" si="17"/>
        <v>50655.61521562501</v>
      </c>
      <c r="AC26" s="236"/>
    </row>
    <row r="27" spans="1:29" ht="18.75">
      <c r="A27" s="210"/>
      <c r="B27" s="267" t="s">
        <v>199</v>
      </c>
      <c r="C27" s="269" t="s">
        <v>210</v>
      </c>
      <c r="D27" s="234">
        <f>D21*0.15</f>
        <v>3750</v>
      </c>
      <c r="E27" s="235">
        <f t="shared" si="16"/>
        <v>4500</v>
      </c>
      <c r="F27" s="234">
        <f t="shared" si="16"/>
        <v>5400</v>
      </c>
      <c r="G27" s="235">
        <f t="shared" si="16"/>
        <v>6479.9999999999991</v>
      </c>
      <c r="H27" s="235">
        <f t="shared" si="16"/>
        <v>7775.9999999999982</v>
      </c>
      <c r="I27" s="235">
        <f t="shared" si="16"/>
        <v>9331.1999999999971</v>
      </c>
      <c r="J27" s="235">
        <f t="shared" si="16"/>
        <v>11197.439999999997</v>
      </c>
      <c r="K27" s="235">
        <f t="shared" si="16"/>
        <v>13436.927999999996</v>
      </c>
      <c r="L27" s="235">
        <f t="shared" si="16"/>
        <v>16124.313599999992</v>
      </c>
      <c r="M27" s="235">
        <f t="shared" si="16"/>
        <v>19349.176319999991</v>
      </c>
      <c r="N27" s="235">
        <f t="shared" si="16"/>
        <v>23219.011583999989</v>
      </c>
      <c r="O27" s="235">
        <f t="shared" si="16"/>
        <v>27862.813900799985</v>
      </c>
      <c r="P27" s="236"/>
      <c r="Q27" s="235">
        <f>Q21*0.15</f>
        <v>7500</v>
      </c>
      <c r="R27" s="235">
        <f t="shared" si="17"/>
        <v>9000</v>
      </c>
      <c r="S27" s="235">
        <f t="shared" si="17"/>
        <v>10800</v>
      </c>
      <c r="T27" s="235">
        <f t="shared" si="17"/>
        <v>12959.999999999998</v>
      </c>
      <c r="U27" s="235">
        <f t="shared" si="17"/>
        <v>15551.999999999996</v>
      </c>
      <c r="V27" s="235">
        <f t="shared" si="17"/>
        <v>18662.399999999994</v>
      </c>
      <c r="W27" s="235">
        <f t="shared" si="17"/>
        <v>22394.879999999994</v>
      </c>
      <c r="X27" s="235">
        <f t="shared" si="17"/>
        <v>26873.855999999992</v>
      </c>
      <c r="Y27" s="235">
        <f t="shared" si="17"/>
        <v>32248.627199999984</v>
      </c>
      <c r="Z27" s="235">
        <f t="shared" si="17"/>
        <v>38698.352639999983</v>
      </c>
      <c r="AA27" s="235">
        <f t="shared" si="17"/>
        <v>40633.27027199998</v>
      </c>
      <c r="AB27" s="235">
        <f t="shared" si="17"/>
        <v>42664.933785599984</v>
      </c>
      <c r="AC27" s="236"/>
    </row>
    <row r="28" spans="1:29" ht="18.75">
      <c r="A28" s="210"/>
      <c r="B28" s="267" t="s">
        <v>211</v>
      </c>
      <c r="C28" s="233" t="s">
        <v>212</v>
      </c>
      <c r="D28" s="234">
        <f>D22*0.25</f>
        <v>1000</v>
      </c>
      <c r="E28" s="235">
        <f t="shared" ref="E28:O28" si="18">E22*0.25</f>
        <v>1200</v>
      </c>
      <c r="F28" s="234">
        <f t="shared" si="18"/>
        <v>1439.9999999999998</v>
      </c>
      <c r="G28" s="235">
        <f t="shared" si="18"/>
        <v>1727.9999999999998</v>
      </c>
      <c r="H28" s="235">
        <f t="shared" si="18"/>
        <v>2073.6</v>
      </c>
      <c r="I28" s="235">
        <f t="shared" si="18"/>
        <v>2488.3199999999997</v>
      </c>
      <c r="J28" s="235">
        <f t="shared" si="18"/>
        <v>2985.983999999999</v>
      </c>
      <c r="K28" s="235">
        <f t="shared" si="18"/>
        <v>3583.1807999999987</v>
      </c>
      <c r="L28" s="235">
        <f t="shared" si="18"/>
        <v>4299.8169599999983</v>
      </c>
      <c r="M28" s="235">
        <f t="shared" si="18"/>
        <v>5159.7803519999979</v>
      </c>
      <c r="N28" s="235">
        <f t="shared" si="18"/>
        <v>6191.7364223999966</v>
      </c>
      <c r="O28" s="235">
        <f t="shared" si="18"/>
        <v>7430.0837068799965</v>
      </c>
      <c r="P28" s="236"/>
      <c r="Q28" s="235">
        <f>Q22*0.25</f>
        <v>3500</v>
      </c>
      <c r="R28" s="235">
        <f t="shared" ref="R28:AB28" si="19">R22*0.25</f>
        <v>5250</v>
      </c>
      <c r="S28" s="235">
        <f t="shared" si="19"/>
        <v>7875</v>
      </c>
      <c r="T28" s="235">
        <f t="shared" si="19"/>
        <v>11812.5</v>
      </c>
      <c r="U28" s="235">
        <f t="shared" si="19"/>
        <v>17718.75</v>
      </c>
      <c r="V28" s="235">
        <f t="shared" si="19"/>
        <v>26578.125</v>
      </c>
      <c r="W28" s="235">
        <f t="shared" si="19"/>
        <v>39867.1875</v>
      </c>
      <c r="X28" s="235">
        <f t="shared" si="19"/>
        <v>43853.906250000007</v>
      </c>
      <c r="Y28" s="235">
        <f t="shared" si="19"/>
        <v>48239.296875000007</v>
      </c>
      <c r="Z28" s="235">
        <f t="shared" si="19"/>
        <v>53063.226562500015</v>
      </c>
      <c r="AA28" s="235">
        <f t="shared" si="19"/>
        <v>58369.54921875002</v>
      </c>
      <c r="AB28" s="235">
        <f t="shared" si="19"/>
        <v>64206.504140625031</v>
      </c>
      <c r="AC28" s="236"/>
    </row>
    <row r="29" spans="1:29" ht="18.75">
      <c r="A29" s="210"/>
      <c r="B29" s="267" t="s">
        <v>213</v>
      </c>
      <c r="C29" s="233" t="s">
        <v>200</v>
      </c>
      <c r="D29" s="234">
        <v>0</v>
      </c>
      <c r="E29" s="235">
        <f>2000000*0.03</f>
        <v>60000</v>
      </c>
      <c r="F29" s="235">
        <f>E29*1.05</f>
        <v>63000</v>
      </c>
      <c r="G29" s="235">
        <f t="shared" ref="G29:O29" si="20">F29*1.05</f>
        <v>66150</v>
      </c>
      <c r="H29" s="235">
        <f t="shared" si="20"/>
        <v>69457.5</v>
      </c>
      <c r="I29" s="235">
        <f t="shared" si="20"/>
        <v>72930.375</v>
      </c>
      <c r="J29" s="235">
        <f t="shared" si="20"/>
        <v>76576.893750000003</v>
      </c>
      <c r="K29" s="235">
        <f t="shared" si="20"/>
        <v>80405.738437500011</v>
      </c>
      <c r="L29" s="235">
        <f t="shared" si="20"/>
        <v>84426.025359375009</v>
      </c>
      <c r="M29" s="235">
        <f t="shared" si="20"/>
        <v>88647.326627343762</v>
      </c>
      <c r="N29" s="235">
        <f t="shared" si="20"/>
        <v>93079.692958710948</v>
      </c>
      <c r="O29" s="235">
        <f t="shared" si="20"/>
        <v>97733.677606646495</v>
      </c>
      <c r="P29" s="236"/>
      <c r="Q29" s="235">
        <f>O29*1.05</f>
        <v>102620.36148697883</v>
      </c>
      <c r="R29" s="235">
        <f>Q29*1.05</f>
        <v>107751.37956132778</v>
      </c>
      <c r="S29" s="235">
        <f t="shared" ref="S29:AB29" si="21">R29*1.05</f>
        <v>113138.94853939417</v>
      </c>
      <c r="T29" s="235">
        <f t="shared" si="21"/>
        <v>118795.89596636388</v>
      </c>
      <c r="U29" s="235">
        <f t="shared" si="21"/>
        <v>124735.69076468208</v>
      </c>
      <c r="V29" s="235">
        <f t="shared" si="21"/>
        <v>130972.47530291618</v>
      </c>
      <c r="W29" s="235">
        <f t="shared" si="21"/>
        <v>137521.099068062</v>
      </c>
      <c r="X29" s="235">
        <f t="shared" si="21"/>
        <v>144397.1540214651</v>
      </c>
      <c r="Y29" s="235">
        <f t="shared" si="21"/>
        <v>151617.01172253836</v>
      </c>
      <c r="Z29" s="235">
        <f t="shared" si="21"/>
        <v>159197.8623086653</v>
      </c>
      <c r="AA29" s="235">
        <f t="shared" si="21"/>
        <v>167157.75542409858</v>
      </c>
      <c r="AB29" s="235">
        <f t="shared" si="21"/>
        <v>175515.64319530351</v>
      </c>
      <c r="AC29" s="236"/>
    </row>
    <row r="30" spans="1:29" ht="18.75">
      <c r="A30" s="210">
        <v>2</v>
      </c>
      <c r="B30" s="220" t="s">
        <v>159</v>
      </c>
      <c r="C30" s="221"/>
      <c r="D30" s="237">
        <f>SUM(D34:D35,D32)</f>
        <v>43670.1</v>
      </c>
      <c r="E30" s="238">
        <f t="shared" ref="E30:AB30" si="22">SUM(E34:E35,E32)</f>
        <v>57393.84</v>
      </c>
      <c r="F30" s="238">
        <f t="shared" si="22"/>
        <v>67106.100000000006</v>
      </c>
      <c r="G30" s="238">
        <f t="shared" si="22"/>
        <v>75066.239999999991</v>
      </c>
      <c r="H30" s="238">
        <f t="shared" si="22"/>
        <v>81189.66</v>
      </c>
      <c r="I30" s="238">
        <f t="shared" si="22"/>
        <v>106777.2</v>
      </c>
      <c r="J30" s="238">
        <f t="shared" si="22"/>
        <v>111281.52</v>
      </c>
      <c r="K30" s="238">
        <f t="shared" si="22"/>
        <v>121024.45199999999</v>
      </c>
      <c r="L30" s="238">
        <f t="shared" si="22"/>
        <v>111719.5824</v>
      </c>
      <c r="M30" s="238">
        <f t="shared" si="22"/>
        <v>107677.85088</v>
      </c>
      <c r="N30" s="238">
        <f t="shared" si="22"/>
        <v>96814.621055999989</v>
      </c>
      <c r="O30" s="238">
        <f t="shared" si="22"/>
        <v>103153.9092672</v>
      </c>
      <c r="P30" s="232">
        <f>SUM(D30:O30)</f>
        <v>1082875.0756031999</v>
      </c>
      <c r="Q30" s="238">
        <f t="shared" si="22"/>
        <v>105932</v>
      </c>
      <c r="R30" s="238">
        <f t="shared" si="22"/>
        <v>140504</v>
      </c>
      <c r="S30" s="238">
        <f t="shared" si="22"/>
        <v>163040</v>
      </c>
      <c r="T30" s="238">
        <f t="shared" si="22"/>
        <v>199949</v>
      </c>
      <c r="U30" s="238">
        <f t="shared" si="22"/>
        <v>233535.19999999995</v>
      </c>
      <c r="V30" s="238">
        <f t="shared" si="22"/>
        <v>264910.99999999994</v>
      </c>
      <c r="W30" s="238">
        <f t="shared" si="22"/>
        <v>294108.674</v>
      </c>
      <c r="X30" s="238">
        <f t="shared" si="22"/>
        <v>327562.04389999987</v>
      </c>
      <c r="Y30" s="238">
        <f t="shared" si="22"/>
        <v>365908.86504499993</v>
      </c>
      <c r="Z30" s="238">
        <f t="shared" si="22"/>
        <v>370653.62476324989</v>
      </c>
      <c r="AA30" s="238">
        <f t="shared" si="22"/>
        <v>272687.34266690002</v>
      </c>
      <c r="AB30" s="238">
        <f t="shared" si="22"/>
        <v>233886.109800245</v>
      </c>
      <c r="AC30" s="232">
        <f>SUM(Q30:AB30)</f>
        <v>2972677.8601753949</v>
      </c>
    </row>
    <row r="31" spans="1:29" ht="18.75">
      <c r="A31" s="210"/>
      <c r="B31" s="239"/>
      <c r="C31" s="212" t="s">
        <v>160</v>
      </c>
      <c r="D31" s="234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6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6"/>
    </row>
    <row r="32" spans="1:29" ht="18.75">
      <c r="A32" s="210"/>
      <c r="B32" s="240" t="s">
        <v>161</v>
      </c>
      <c r="C32" s="233" t="s">
        <v>162</v>
      </c>
      <c r="D32" s="234">
        <v>30000</v>
      </c>
      <c r="E32" s="235">
        <v>30000</v>
      </c>
      <c r="F32" s="235">
        <v>30000</v>
      </c>
      <c r="G32" s="235">
        <v>30000</v>
      </c>
      <c r="H32" s="235">
        <v>30000</v>
      </c>
      <c r="I32" s="235">
        <v>30000</v>
      </c>
      <c r="J32" s="235">
        <v>30000</v>
      </c>
      <c r="K32" s="235">
        <v>30000</v>
      </c>
      <c r="L32" s="235">
        <v>30000</v>
      </c>
      <c r="M32" s="235">
        <v>30000</v>
      </c>
      <c r="N32" s="235">
        <v>30000</v>
      </c>
      <c r="O32" s="235">
        <v>30000</v>
      </c>
      <c r="P32" s="236"/>
      <c r="Q32" s="235">
        <v>50000</v>
      </c>
      <c r="R32" s="235">
        <v>50000</v>
      </c>
      <c r="S32" s="235">
        <v>50000</v>
      </c>
      <c r="T32" s="235">
        <v>50000</v>
      </c>
      <c r="U32" s="235">
        <v>50000</v>
      </c>
      <c r="V32" s="235">
        <v>50000</v>
      </c>
      <c r="W32" s="235">
        <v>50000</v>
      </c>
      <c r="X32" s="235">
        <v>50000</v>
      </c>
      <c r="Y32" s="235">
        <v>50000</v>
      </c>
      <c r="Z32" s="235">
        <v>50000</v>
      </c>
      <c r="AA32" s="235">
        <v>50000</v>
      </c>
      <c r="AB32" s="235">
        <v>50000</v>
      </c>
      <c r="AC32" s="236"/>
    </row>
    <row r="33" spans="1:29" ht="18.75">
      <c r="A33" s="210"/>
      <c r="B33" s="233"/>
      <c r="C33" s="233" t="s">
        <v>163</v>
      </c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6"/>
    </row>
    <row r="34" spans="1:29" ht="18.75">
      <c r="A34" s="210"/>
      <c r="B34" s="240" t="s">
        <v>164</v>
      </c>
      <c r="C34" s="233" t="s">
        <v>165</v>
      </c>
      <c r="D34" s="234">
        <f>D17*0.03</f>
        <v>13670.1</v>
      </c>
      <c r="E34" s="235">
        <f t="shared" ref="E34:O34" si="23">E17*0.03</f>
        <v>27393.84</v>
      </c>
      <c r="F34" s="235">
        <f t="shared" si="23"/>
        <v>37106.1</v>
      </c>
      <c r="G34" s="235">
        <f t="shared" si="23"/>
        <v>45066.239999999998</v>
      </c>
      <c r="H34" s="235">
        <f t="shared" si="23"/>
        <v>51189.659999999996</v>
      </c>
      <c r="I34" s="235">
        <f t="shared" si="23"/>
        <v>76777.2</v>
      </c>
      <c r="J34" s="235">
        <f t="shared" si="23"/>
        <v>81281.52</v>
      </c>
      <c r="K34" s="235">
        <f t="shared" si="23"/>
        <v>91024.45199999999</v>
      </c>
      <c r="L34" s="235">
        <f t="shared" si="23"/>
        <v>81719.582399999999</v>
      </c>
      <c r="M34" s="235">
        <f t="shared" si="23"/>
        <v>77677.850879999998</v>
      </c>
      <c r="N34" s="235">
        <f t="shared" si="23"/>
        <v>66814.621055999989</v>
      </c>
      <c r="O34" s="235">
        <f t="shared" si="23"/>
        <v>73153.909267199997</v>
      </c>
      <c r="P34" s="236"/>
      <c r="Q34" s="235">
        <f>Q17*0.03</f>
        <v>55932</v>
      </c>
      <c r="R34" s="235">
        <f t="shared" ref="R34:AB34" si="24">R17*0.03</f>
        <v>90504</v>
      </c>
      <c r="S34" s="235">
        <f t="shared" si="24"/>
        <v>113040</v>
      </c>
      <c r="T34" s="235">
        <f t="shared" si="24"/>
        <v>149949</v>
      </c>
      <c r="U34" s="235">
        <f t="shared" si="24"/>
        <v>183535.19999999995</v>
      </c>
      <c r="V34" s="235">
        <f t="shared" si="24"/>
        <v>214910.99999999994</v>
      </c>
      <c r="W34" s="235">
        <f t="shared" si="24"/>
        <v>244108.67399999997</v>
      </c>
      <c r="X34" s="235">
        <f t="shared" si="24"/>
        <v>277562.04389999987</v>
      </c>
      <c r="Y34" s="235">
        <f t="shared" si="24"/>
        <v>315908.86504499993</v>
      </c>
      <c r="Z34" s="235">
        <f t="shared" si="24"/>
        <v>320653.62476324989</v>
      </c>
      <c r="AA34" s="235">
        <f t="shared" si="24"/>
        <v>222687.34266690002</v>
      </c>
      <c r="AB34" s="235">
        <f t="shared" si="24"/>
        <v>183886.109800245</v>
      </c>
      <c r="AC34" s="236"/>
    </row>
    <row r="35" spans="1:29" ht="18.75">
      <c r="A35" s="210"/>
      <c r="B35" s="239" t="s">
        <v>166</v>
      </c>
      <c r="C35" s="233" t="s">
        <v>167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6"/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  <c r="AC35" s="236"/>
    </row>
    <row r="36" spans="1:29" ht="18.75">
      <c r="A36" s="210">
        <v>3</v>
      </c>
      <c r="B36" s="220" t="s">
        <v>168</v>
      </c>
      <c r="C36" s="221"/>
      <c r="D36" s="237">
        <f>SUM(D38:D40,D42,D44:D47)</f>
        <v>84240</v>
      </c>
      <c r="E36" s="238">
        <f t="shared" ref="E36:O36" si="25">SUM(E38:E40,E42,E44:E47)</f>
        <v>84240</v>
      </c>
      <c r="F36" s="238">
        <f t="shared" si="25"/>
        <v>84240</v>
      </c>
      <c r="G36" s="238">
        <f t="shared" si="25"/>
        <v>84240</v>
      </c>
      <c r="H36" s="238">
        <f t="shared" si="25"/>
        <v>84240</v>
      </c>
      <c r="I36" s="238">
        <f t="shared" si="25"/>
        <v>84240</v>
      </c>
      <c r="J36" s="238">
        <f t="shared" si="25"/>
        <v>84240</v>
      </c>
      <c r="K36" s="238">
        <f t="shared" si="25"/>
        <v>84240</v>
      </c>
      <c r="L36" s="238">
        <f t="shared" si="25"/>
        <v>84240</v>
      </c>
      <c r="M36" s="238">
        <f t="shared" si="25"/>
        <v>84240</v>
      </c>
      <c r="N36" s="238">
        <f t="shared" si="25"/>
        <v>84240</v>
      </c>
      <c r="O36" s="238">
        <f t="shared" si="25"/>
        <v>84240</v>
      </c>
      <c r="P36" s="232">
        <f>SUM(D36:O36)</f>
        <v>1010880</v>
      </c>
      <c r="Q36" s="238">
        <f>SUM(Q38:Q40,Q42,Q44:Q47)</f>
        <v>56240</v>
      </c>
      <c r="R36" s="238">
        <f t="shared" ref="R36:AB36" si="26">SUM(R38:R40,R42,R44:R47)</f>
        <v>56240</v>
      </c>
      <c r="S36" s="238">
        <f t="shared" si="26"/>
        <v>56240</v>
      </c>
      <c r="T36" s="238">
        <f t="shared" si="26"/>
        <v>81240</v>
      </c>
      <c r="U36" s="238">
        <f t="shared" si="26"/>
        <v>81240</v>
      </c>
      <c r="V36" s="238">
        <f t="shared" si="26"/>
        <v>81240</v>
      </c>
      <c r="W36" s="238">
        <f t="shared" si="26"/>
        <v>81240</v>
      </c>
      <c r="X36" s="238">
        <f t="shared" si="26"/>
        <v>81240</v>
      </c>
      <c r="Y36" s="238">
        <f t="shared" si="26"/>
        <v>81240</v>
      </c>
      <c r="Z36" s="238">
        <f t="shared" si="26"/>
        <v>81240</v>
      </c>
      <c r="AA36" s="238">
        <f t="shared" si="26"/>
        <v>81240</v>
      </c>
      <c r="AB36" s="238">
        <f t="shared" si="26"/>
        <v>81240</v>
      </c>
      <c r="AC36" s="232">
        <f>SUM(Q36:AB36)</f>
        <v>899880</v>
      </c>
    </row>
    <row r="37" spans="1:29" ht="18.75">
      <c r="A37" s="210"/>
      <c r="B37" s="239" t="s">
        <v>169</v>
      </c>
      <c r="C37" s="212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6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6"/>
    </row>
    <row r="38" spans="1:29" ht="18.75">
      <c r="A38" s="210"/>
      <c r="B38" s="233" t="s">
        <v>170</v>
      </c>
      <c r="C38" s="241" t="s">
        <v>171</v>
      </c>
      <c r="D38" s="234">
        <v>50000</v>
      </c>
      <c r="E38" s="235">
        <v>50000</v>
      </c>
      <c r="F38" s="235">
        <v>50000</v>
      </c>
      <c r="G38" s="235">
        <v>50000</v>
      </c>
      <c r="H38" s="235">
        <v>50000</v>
      </c>
      <c r="I38" s="235">
        <v>50000</v>
      </c>
      <c r="J38" s="235">
        <v>50000</v>
      </c>
      <c r="K38" s="235">
        <v>50000</v>
      </c>
      <c r="L38" s="235">
        <v>50000</v>
      </c>
      <c r="M38" s="235">
        <v>50000</v>
      </c>
      <c r="N38" s="235">
        <v>50000</v>
      </c>
      <c r="O38" s="235">
        <v>50000</v>
      </c>
      <c r="P38" s="236"/>
      <c r="Q38" s="235">
        <v>25000</v>
      </c>
      <c r="R38" s="235">
        <v>25000</v>
      </c>
      <c r="S38" s="235">
        <v>25000</v>
      </c>
      <c r="T38" s="235">
        <v>50000</v>
      </c>
      <c r="U38" s="235">
        <v>50000</v>
      </c>
      <c r="V38" s="235">
        <v>50000</v>
      </c>
      <c r="W38" s="235">
        <v>50000</v>
      </c>
      <c r="X38" s="235">
        <v>50000</v>
      </c>
      <c r="Y38" s="235">
        <v>50000</v>
      </c>
      <c r="Z38" s="235">
        <v>50000</v>
      </c>
      <c r="AA38" s="235">
        <v>50000</v>
      </c>
      <c r="AB38" s="235">
        <v>50000</v>
      </c>
      <c r="AC38" s="236"/>
    </row>
    <row r="39" spans="1:29" ht="18.75">
      <c r="A39" s="210"/>
      <c r="B39" s="233" t="s">
        <v>172</v>
      </c>
      <c r="C39" s="233" t="s">
        <v>173</v>
      </c>
      <c r="D39" s="234">
        <v>5000</v>
      </c>
      <c r="E39" s="235">
        <v>5000</v>
      </c>
      <c r="F39" s="234">
        <v>5000</v>
      </c>
      <c r="G39" s="235">
        <v>5000</v>
      </c>
      <c r="H39" s="235">
        <v>5000</v>
      </c>
      <c r="I39" s="235">
        <v>5000</v>
      </c>
      <c r="J39" s="235">
        <v>5000</v>
      </c>
      <c r="K39" s="235">
        <v>5000</v>
      </c>
      <c r="L39" s="235">
        <v>5000</v>
      </c>
      <c r="M39" s="235">
        <v>5000</v>
      </c>
      <c r="N39" s="235">
        <v>5000</v>
      </c>
      <c r="O39" s="235">
        <v>5000</v>
      </c>
      <c r="P39" s="236"/>
      <c r="Q39" s="235">
        <v>2000</v>
      </c>
      <c r="R39" s="235">
        <v>2000</v>
      </c>
      <c r="S39" s="235">
        <v>2000</v>
      </c>
      <c r="T39" s="235">
        <v>2000</v>
      </c>
      <c r="U39" s="235">
        <v>2000</v>
      </c>
      <c r="V39" s="235">
        <v>2000</v>
      </c>
      <c r="W39" s="235">
        <v>2000</v>
      </c>
      <c r="X39" s="235">
        <v>2000</v>
      </c>
      <c r="Y39" s="235">
        <v>2000</v>
      </c>
      <c r="Z39" s="235">
        <v>2000</v>
      </c>
      <c r="AA39" s="235">
        <v>2000</v>
      </c>
      <c r="AB39" s="235">
        <v>2000</v>
      </c>
      <c r="AC39" s="236"/>
    </row>
    <row r="40" spans="1:29" ht="18.75">
      <c r="A40" s="210"/>
      <c r="B40" s="233" t="s">
        <v>174</v>
      </c>
      <c r="C40" s="233" t="s">
        <v>175</v>
      </c>
      <c r="D40" s="234">
        <v>12000</v>
      </c>
      <c r="E40" s="235">
        <v>12000</v>
      </c>
      <c r="F40" s="234">
        <v>12000</v>
      </c>
      <c r="G40" s="235">
        <v>12000</v>
      </c>
      <c r="H40" s="235">
        <v>12000</v>
      </c>
      <c r="I40" s="235">
        <v>12000</v>
      </c>
      <c r="J40" s="235">
        <v>12000</v>
      </c>
      <c r="K40" s="235">
        <v>12000</v>
      </c>
      <c r="L40" s="235">
        <v>12000</v>
      </c>
      <c r="M40" s="235">
        <v>12000</v>
      </c>
      <c r="N40" s="235">
        <v>12000</v>
      </c>
      <c r="O40" s="235">
        <v>12000</v>
      </c>
      <c r="P40" s="236"/>
      <c r="Q40" s="235">
        <v>10000</v>
      </c>
      <c r="R40" s="235">
        <v>10000</v>
      </c>
      <c r="S40" s="235">
        <v>10000</v>
      </c>
      <c r="T40" s="235">
        <v>10000</v>
      </c>
      <c r="U40" s="235">
        <v>10000</v>
      </c>
      <c r="V40" s="235">
        <v>10000</v>
      </c>
      <c r="W40" s="235">
        <v>10000</v>
      </c>
      <c r="X40" s="235">
        <v>10000</v>
      </c>
      <c r="Y40" s="235">
        <v>10000</v>
      </c>
      <c r="Z40" s="235">
        <v>10000</v>
      </c>
      <c r="AA40" s="235">
        <v>10000</v>
      </c>
      <c r="AB40" s="235">
        <v>10000</v>
      </c>
      <c r="AC40" s="236"/>
    </row>
    <row r="41" spans="1:29" ht="18.75">
      <c r="A41" s="210"/>
      <c r="B41" s="239" t="s">
        <v>176</v>
      </c>
      <c r="C41" s="212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6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6"/>
    </row>
    <row r="42" spans="1:29" ht="18.75">
      <c r="A42" s="210"/>
      <c r="B42" s="233" t="s">
        <v>177</v>
      </c>
      <c r="C42" s="233" t="s">
        <v>178</v>
      </c>
      <c r="D42" s="234">
        <v>10000</v>
      </c>
      <c r="E42" s="235">
        <v>10000</v>
      </c>
      <c r="F42" s="235">
        <v>10000</v>
      </c>
      <c r="G42" s="235">
        <v>10000</v>
      </c>
      <c r="H42" s="235">
        <v>10000</v>
      </c>
      <c r="I42" s="235">
        <v>10000</v>
      </c>
      <c r="J42" s="235">
        <v>10000</v>
      </c>
      <c r="K42" s="235">
        <v>10000</v>
      </c>
      <c r="L42" s="235">
        <v>10000</v>
      </c>
      <c r="M42" s="235">
        <v>10000</v>
      </c>
      <c r="N42" s="235">
        <v>10000</v>
      </c>
      <c r="O42" s="235">
        <v>10000</v>
      </c>
      <c r="P42" s="236"/>
      <c r="Q42" s="235">
        <v>11000</v>
      </c>
      <c r="R42" s="235">
        <v>11000</v>
      </c>
      <c r="S42" s="235">
        <v>11000</v>
      </c>
      <c r="T42" s="235">
        <v>11000</v>
      </c>
      <c r="U42" s="235">
        <v>11000</v>
      </c>
      <c r="V42" s="235">
        <v>11000</v>
      </c>
      <c r="W42" s="235">
        <v>11000</v>
      </c>
      <c r="X42" s="235">
        <v>11000</v>
      </c>
      <c r="Y42" s="235">
        <v>11000</v>
      </c>
      <c r="Z42" s="235">
        <v>11000</v>
      </c>
      <c r="AA42" s="235">
        <v>11000</v>
      </c>
      <c r="AB42" s="235">
        <v>11000</v>
      </c>
      <c r="AC42" s="236"/>
    </row>
    <row r="43" spans="1:29" ht="18.75">
      <c r="A43" s="210"/>
      <c r="B43" s="239" t="s">
        <v>179</v>
      </c>
      <c r="C43" s="212"/>
      <c r="D43" s="234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6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</row>
    <row r="44" spans="1:29" ht="18.75">
      <c r="A44" s="210"/>
      <c r="B44" s="233" t="s">
        <v>180</v>
      </c>
      <c r="C44" s="233" t="s">
        <v>181</v>
      </c>
      <c r="D44" s="234">
        <v>250</v>
      </c>
      <c r="E44" s="235">
        <v>250</v>
      </c>
      <c r="F44" s="235">
        <v>250</v>
      </c>
      <c r="G44" s="235">
        <v>250</v>
      </c>
      <c r="H44" s="235">
        <v>250</v>
      </c>
      <c r="I44" s="235">
        <v>250</v>
      </c>
      <c r="J44" s="235">
        <v>250</v>
      </c>
      <c r="K44" s="235">
        <v>250</v>
      </c>
      <c r="L44" s="235">
        <v>250</v>
      </c>
      <c r="M44" s="235">
        <v>250</v>
      </c>
      <c r="N44" s="235">
        <v>250</v>
      </c>
      <c r="O44" s="235">
        <v>250</v>
      </c>
      <c r="P44" s="236"/>
      <c r="Q44" s="235">
        <v>250</v>
      </c>
      <c r="R44" s="235">
        <v>250</v>
      </c>
      <c r="S44" s="235">
        <v>250</v>
      </c>
      <c r="T44" s="235">
        <v>250</v>
      </c>
      <c r="U44" s="235">
        <v>250</v>
      </c>
      <c r="V44" s="235">
        <v>250</v>
      </c>
      <c r="W44" s="235">
        <v>250</v>
      </c>
      <c r="X44" s="235">
        <v>250</v>
      </c>
      <c r="Y44" s="235">
        <v>250</v>
      </c>
      <c r="Z44" s="235">
        <v>250</v>
      </c>
      <c r="AA44" s="235">
        <v>250</v>
      </c>
      <c r="AB44" s="235">
        <v>250</v>
      </c>
      <c r="AC44" s="236"/>
    </row>
    <row r="45" spans="1:29" ht="18.75">
      <c r="A45" s="210"/>
      <c r="B45" s="233" t="s">
        <v>182</v>
      </c>
      <c r="C45" s="233" t="s">
        <v>183</v>
      </c>
      <c r="D45" s="234">
        <v>1490</v>
      </c>
      <c r="E45" s="235">
        <v>1490</v>
      </c>
      <c r="F45" s="235">
        <v>1490</v>
      </c>
      <c r="G45" s="235">
        <v>1490</v>
      </c>
      <c r="H45" s="235">
        <v>1490</v>
      </c>
      <c r="I45" s="235">
        <v>1490</v>
      </c>
      <c r="J45" s="235">
        <v>1490</v>
      </c>
      <c r="K45" s="235">
        <v>1490</v>
      </c>
      <c r="L45" s="235">
        <v>1490</v>
      </c>
      <c r="M45" s="235">
        <v>1490</v>
      </c>
      <c r="N45" s="235">
        <v>1490</v>
      </c>
      <c r="O45" s="235">
        <v>1490</v>
      </c>
      <c r="P45" s="236"/>
      <c r="Q45" s="235">
        <v>1490</v>
      </c>
      <c r="R45" s="235">
        <v>1490</v>
      </c>
      <c r="S45" s="235">
        <v>1490</v>
      </c>
      <c r="T45" s="235">
        <v>1490</v>
      </c>
      <c r="U45" s="235">
        <v>1490</v>
      </c>
      <c r="V45" s="235">
        <v>1490</v>
      </c>
      <c r="W45" s="235">
        <v>1490</v>
      </c>
      <c r="X45" s="235">
        <v>1490</v>
      </c>
      <c r="Y45" s="235">
        <v>1490</v>
      </c>
      <c r="Z45" s="235">
        <v>1490</v>
      </c>
      <c r="AA45" s="235">
        <v>1490</v>
      </c>
      <c r="AB45" s="235">
        <v>1490</v>
      </c>
      <c r="AC45" s="236"/>
    </row>
    <row r="46" spans="1:29" ht="18.75">
      <c r="A46" s="210"/>
      <c r="B46" s="233" t="s">
        <v>184</v>
      </c>
      <c r="C46" s="233" t="s">
        <v>185</v>
      </c>
      <c r="D46" s="234">
        <v>500</v>
      </c>
      <c r="E46" s="235">
        <v>500</v>
      </c>
      <c r="F46" s="235">
        <v>500</v>
      </c>
      <c r="G46" s="235">
        <v>500</v>
      </c>
      <c r="H46" s="235">
        <v>500</v>
      </c>
      <c r="I46" s="235">
        <v>500</v>
      </c>
      <c r="J46" s="235">
        <v>500</v>
      </c>
      <c r="K46" s="235">
        <v>500</v>
      </c>
      <c r="L46" s="235">
        <v>500</v>
      </c>
      <c r="M46" s="235">
        <v>500</v>
      </c>
      <c r="N46" s="235">
        <v>500</v>
      </c>
      <c r="O46" s="235">
        <v>500</v>
      </c>
      <c r="P46" s="236"/>
      <c r="Q46" s="235">
        <v>500</v>
      </c>
      <c r="R46" s="235">
        <v>500</v>
      </c>
      <c r="S46" s="235">
        <v>500</v>
      </c>
      <c r="T46" s="235">
        <v>500</v>
      </c>
      <c r="U46" s="235">
        <v>500</v>
      </c>
      <c r="V46" s="235">
        <v>500</v>
      </c>
      <c r="W46" s="235">
        <v>500</v>
      </c>
      <c r="X46" s="235">
        <v>500</v>
      </c>
      <c r="Y46" s="235">
        <v>500</v>
      </c>
      <c r="Z46" s="235">
        <v>500</v>
      </c>
      <c r="AA46" s="235">
        <v>500</v>
      </c>
      <c r="AB46" s="235">
        <v>500</v>
      </c>
      <c r="AC46" s="236"/>
    </row>
    <row r="47" spans="1:29" ht="18.75">
      <c r="A47" s="210"/>
      <c r="B47" s="268" t="s">
        <v>201</v>
      </c>
      <c r="C47" s="269" t="s">
        <v>202</v>
      </c>
      <c r="D47" s="270">
        <v>5000</v>
      </c>
      <c r="E47" s="271">
        <v>5000</v>
      </c>
      <c r="F47" s="271">
        <v>5000</v>
      </c>
      <c r="G47" s="271">
        <v>5000</v>
      </c>
      <c r="H47" s="271">
        <v>5000</v>
      </c>
      <c r="I47" s="271">
        <v>5000</v>
      </c>
      <c r="J47" s="271">
        <v>5000</v>
      </c>
      <c r="K47" s="271">
        <v>5000</v>
      </c>
      <c r="L47" s="271">
        <v>5000</v>
      </c>
      <c r="M47" s="271">
        <v>5000</v>
      </c>
      <c r="N47" s="271">
        <v>5000</v>
      </c>
      <c r="O47" s="271">
        <v>5000</v>
      </c>
      <c r="P47" s="236"/>
      <c r="Q47" s="271">
        <v>6000</v>
      </c>
      <c r="R47" s="271">
        <v>6000</v>
      </c>
      <c r="S47" s="271">
        <v>6000</v>
      </c>
      <c r="T47" s="271">
        <v>6000</v>
      </c>
      <c r="U47" s="271">
        <v>6000</v>
      </c>
      <c r="V47" s="271">
        <v>6000</v>
      </c>
      <c r="W47" s="271">
        <v>6000</v>
      </c>
      <c r="X47" s="271">
        <v>6000</v>
      </c>
      <c r="Y47" s="271">
        <v>6000</v>
      </c>
      <c r="Z47" s="271">
        <v>6000</v>
      </c>
      <c r="AA47" s="271">
        <v>6000</v>
      </c>
      <c r="AB47" s="271">
        <v>6000</v>
      </c>
      <c r="AC47" s="236"/>
    </row>
    <row r="48" spans="1:29" ht="18.75">
      <c r="A48" s="210">
        <v>4</v>
      </c>
      <c r="B48" s="220" t="s">
        <v>186</v>
      </c>
      <c r="C48" s="221"/>
      <c r="D48" s="230">
        <f>D49</f>
        <v>4530.03</v>
      </c>
      <c r="E48" s="231">
        <f t="shared" ref="E48:AB48" si="27">E49</f>
        <v>12484.152</v>
      </c>
      <c r="F48" s="231">
        <f t="shared" si="27"/>
        <v>15754.23</v>
      </c>
      <c r="G48" s="231">
        <f t="shared" si="27"/>
        <v>18499.751999999997</v>
      </c>
      <c r="H48" s="231">
        <f t="shared" si="27"/>
        <v>20691.323999999997</v>
      </c>
      <c r="I48" s="231">
        <f t="shared" si="27"/>
        <v>28982.153699999999</v>
      </c>
      <c r="J48" s="231">
        <f t="shared" si="27"/>
        <v>30766.075064999997</v>
      </c>
      <c r="K48" s="231">
        <f t="shared" si="27"/>
        <v>34016.886434250002</v>
      </c>
      <c r="L48" s="231">
        <f t="shared" si="27"/>
        <v>31886.884075162499</v>
      </c>
      <c r="M48" s="231">
        <f t="shared" si="27"/>
        <v>31172.73226196062</v>
      </c>
      <c r="N48" s="231">
        <f t="shared" si="27"/>
        <v>28113.812774706654</v>
      </c>
      <c r="O48" s="231">
        <f t="shared" si="27"/>
        <v>30503.767293019584</v>
      </c>
      <c r="P48" s="232">
        <f>SUM(D48:O48)</f>
        <v>287401.7996040993</v>
      </c>
      <c r="Q48" s="231">
        <f t="shared" si="27"/>
        <v>23794.82168921873</v>
      </c>
      <c r="R48" s="231">
        <f t="shared" si="27"/>
        <v>34651.282773679661</v>
      </c>
      <c r="S48" s="231">
        <f t="shared" si="27"/>
        <v>42072.836912363651</v>
      </c>
      <c r="T48" s="231">
        <f t="shared" si="27"/>
        <v>54081.203757981828</v>
      </c>
      <c r="U48" s="231">
        <f t="shared" si="27"/>
        <v>65371.826445880914</v>
      </c>
      <c r="V48" s="231">
        <f t="shared" si="27"/>
        <v>76395.936018174951</v>
      </c>
      <c r="W48" s="231">
        <f t="shared" si="27"/>
        <v>86468.979394083697</v>
      </c>
      <c r="X48" s="231">
        <f t="shared" si="27"/>
        <v>97286.410786287859</v>
      </c>
      <c r="Y48" s="231">
        <f t="shared" si="27"/>
        <v>109622.90872935228</v>
      </c>
      <c r="Z48" s="231">
        <f t="shared" si="27"/>
        <v>110731.75276124488</v>
      </c>
      <c r="AA48" s="231">
        <f t="shared" si="27"/>
        <v>81777.841078640922</v>
      </c>
      <c r="AB48" s="231">
        <f t="shared" si="27"/>
        <v>70989.161780229217</v>
      </c>
      <c r="AC48" s="232">
        <f>SUM(Q48:AB48)</f>
        <v>853244.96212713863</v>
      </c>
    </row>
    <row r="49" spans="1:29" ht="19.5" thickBot="1">
      <c r="A49" s="210"/>
      <c r="B49" s="242">
        <v>4.0999999999999996</v>
      </c>
      <c r="C49" s="233" t="s">
        <v>187</v>
      </c>
      <c r="D49" s="234">
        <f t="shared" ref="D49:O49" si="28">D23*0.06</f>
        <v>4530.03</v>
      </c>
      <c r="E49" s="235">
        <f t="shared" si="28"/>
        <v>12484.152</v>
      </c>
      <c r="F49" s="235">
        <f t="shared" si="28"/>
        <v>15754.23</v>
      </c>
      <c r="G49" s="235">
        <f t="shared" si="28"/>
        <v>18499.751999999997</v>
      </c>
      <c r="H49" s="235">
        <f t="shared" si="28"/>
        <v>20691.323999999997</v>
      </c>
      <c r="I49" s="235">
        <f t="shared" si="28"/>
        <v>28982.153699999999</v>
      </c>
      <c r="J49" s="235">
        <f t="shared" si="28"/>
        <v>30766.075064999997</v>
      </c>
      <c r="K49" s="235">
        <f t="shared" si="28"/>
        <v>34016.886434250002</v>
      </c>
      <c r="L49" s="235">
        <f t="shared" si="28"/>
        <v>31886.884075162499</v>
      </c>
      <c r="M49" s="235">
        <f t="shared" si="28"/>
        <v>31172.73226196062</v>
      </c>
      <c r="N49" s="235">
        <f t="shared" si="28"/>
        <v>28113.812774706654</v>
      </c>
      <c r="O49" s="235">
        <f t="shared" si="28"/>
        <v>30503.767293019584</v>
      </c>
      <c r="P49" s="236"/>
      <c r="Q49" s="235">
        <f t="shared" ref="Q49:AB49" si="29">Q23*0.06</f>
        <v>23794.82168921873</v>
      </c>
      <c r="R49" s="235">
        <f t="shared" si="29"/>
        <v>34651.282773679661</v>
      </c>
      <c r="S49" s="235">
        <f t="shared" si="29"/>
        <v>42072.836912363651</v>
      </c>
      <c r="T49" s="235">
        <f t="shared" si="29"/>
        <v>54081.203757981828</v>
      </c>
      <c r="U49" s="235">
        <f t="shared" si="29"/>
        <v>65371.826445880914</v>
      </c>
      <c r="V49" s="235">
        <f t="shared" si="29"/>
        <v>76395.936018174951</v>
      </c>
      <c r="W49" s="235">
        <f t="shared" si="29"/>
        <v>86468.979394083697</v>
      </c>
      <c r="X49" s="235">
        <f t="shared" si="29"/>
        <v>97286.410786287859</v>
      </c>
      <c r="Y49" s="235">
        <f t="shared" si="29"/>
        <v>109622.90872935228</v>
      </c>
      <c r="Z49" s="235">
        <f t="shared" si="29"/>
        <v>110731.75276124488</v>
      </c>
      <c r="AA49" s="235">
        <f t="shared" si="29"/>
        <v>81777.841078640922</v>
      </c>
      <c r="AB49" s="235">
        <f t="shared" si="29"/>
        <v>70989.161780229217</v>
      </c>
      <c r="AC49" s="236"/>
    </row>
    <row r="50" spans="1:29" ht="19.5" thickBot="1">
      <c r="A50" s="210"/>
      <c r="B50" s="214" t="s">
        <v>188</v>
      </c>
      <c r="C50" s="215"/>
      <c r="D50" s="243">
        <f t="shared" ref="D50:O50" si="30">D23-SUM(D30,D36,D49)</f>
        <v>-56939.630000000005</v>
      </c>
      <c r="E50" s="244">
        <f t="shared" si="30"/>
        <v>53951.208000000013</v>
      </c>
      <c r="F50" s="244">
        <f t="shared" si="30"/>
        <v>95470.169999999984</v>
      </c>
      <c r="G50" s="244">
        <f t="shared" si="30"/>
        <v>130523.20799999996</v>
      </c>
      <c r="H50" s="244">
        <f t="shared" si="30"/>
        <v>158734.41599999997</v>
      </c>
      <c r="I50" s="244">
        <f t="shared" si="30"/>
        <v>263036.54130000004</v>
      </c>
      <c r="J50" s="244">
        <f t="shared" si="30"/>
        <v>286480.32268499996</v>
      </c>
      <c r="K50" s="244">
        <f t="shared" si="30"/>
        <v>327666.76880325004</v>
      </c>
      <c r="L50" s="244">
        <f t="shared" si="30"/>
        <v>303601.60144421249</v>
      </c>
      <c r="M50" s="244">
        <f t="shared" si="30"/>
        <v>296454.95455738308</v>
      </c>
      <c r="N50" s="244">
        <f t="shared" si="30"/>
        <v>259395.11241440426</v>
      </c>
      <c r="O50" s="244">
        <f t="shared" si="30"/>
        <v>290498.44499010686</v>
      </c>
      <c r="P50" s="245">
        <f>SUM(D50:O50)</f>
        <v>2408873.1181943566</v>
      </c>
      <c r="Q50" s="244">
        <f t="shared" ref="Q50:AB50" si="31">Q23-SUM(Q30,Q36,Q49)</f>
        <v>210613.53979776011</v>
      </c>
      <c r="R50" s="244">
        <f t="shared" si="31"/>
        <v>346126.0967876481</v>
      </c>
      <c r="S50" s="244">
        <f t="shared" si="31"/>
        <v>439861.11162703054</v>
      </c>
      <c r="T50" s="244">
        <f t="shared" si="31"/>
        <v>566083.19220838207</v>
      </c>
      <c r="U50" s="244">
        <f t="shared" si="31"/>
        <v>709383.41431880102</v>
      </c>
      <c r="V50" s="244">
        <f t="shared" si="31"/>
        <v>850718.66428474092</v>
      </c>
      <c r="W50" s="244">
        <f t="shared" si="31"/>
        <v>979332.00317397784</v>
      </c>
      <c r="X50" s="244">
        <f t="shared" si="31"/>
        <v>1115351.7250851765</v>
      </c>
      <c r="Y50" s="244">
        <f t="shared" si="31"/>
        <v>1270276.7050481858</v>
      </c>
      <c r="Z50" s="244">
        <f t="shared" si="31"/>
        <v>1282903.8351629199</v>
      </c>
      <c r="AA50" s="244">
        <f t="shared" si="31"/>
        <v>927258.83423180785</v>
      </c>
      <c r="AB50" s="244">
        <f t="shared" si="31"/>
        <v>797037.42475667945</v>
      </c>
      <c r="AC50" s="245">
        <f>SUM(Q50:AB50)</f>
        <v>9494946.5464831106</v>
      </c>
    </row>
    <row r="51" spans="1:29">
      <c r="A51" s="210"/>
      <c r="B51" s="212"/>
      <c r="C51" s="212"/>
      <c r="D51" s="21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246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126"/>
    </row>
    <row r="52" spans="1:29">
      <c r="A52" s="210"/>
      <c r="B52" s="212"/>
      <c r="C52" s="212"/>
      <c r="D52" s="213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247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126"/>
    </row>
    <row r="53" spans="1:29">
      <c r="A53" s="210">
        <v>5</v>
      </c>
      <c r="B53" s="248" t="s">
        <v>189</v>
      </c>
      <c r="C53" s="248"/>
      <c r="D53" s="249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1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2"/>
    </row>
    <row r="54" spans="1:29">
      <c r="A54" s="210"/>
      <c r="B54" s="212" t="s">
        <v>100</v>
      </c>
      <c r="C54" s="212"/>
      <c r="D54" s="234">
        <v>500000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247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126"/>
    </row>
    <row r="55" spans="1:29">
      <c r="A55" s="210"/>
      <c r="B55" s="212" t="s">
        <v>190</v>
      </c>
      <c r="C55" s="212"/>
      <c r="D55" s="23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247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26"/>
    </row>
    <row r="56" spans="1:29" ht="30.75" customHeight="1">
      <c r="A56" s="210"/>
      <c r="B56" s="212"/>
      <c r="C56" s="253" t="s">
        <v>203</v>
      </c>
      <c r="D56" s="234">
        <v>0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247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126"/>
    </row>
    <row r="57" spans="1:29">
      <c r="A57" s="210"/>
      <c r="B57" s="212"/>
      <c r="C57" s="241" t="s">
        <v>214</v>
      </c>
      <c r="D57" s="234">
        <v>20000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247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126"/>
    </row>
    <row r="58" spans="1:29">
      <c r="A58" s="210"/>
      <c r="B58" s="212"/>
      <c r="C58" s="254" t="s">
        <v>194</v>
      </c>
      <c r="D58" s="234">
        <f>SUM(D54,D56,D57)</f>
        <v>520000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247"/>
      <c r="Q58" s="255">
        <f>D58+O62</f>
        <v>2408873.1181943566</v>
      </c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126"/>
    </row>
    <row r="59" spans="1:29" ht="15.75" thickBot="1">
      <c r="A59" s="210"/>
      <c r="B59" s="212"/>
      <c r="C59" s="212"/>
      <c r="D59" s="213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247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126"/>
    </row>
    <row r="60" spans="1:29" ht="19.5" thickBot="1">
      <c r="A60" s="210">
        <v>6</v>
      </c>
      <c r="B60" s="256" t="s">
        <v>195</v>
      </c>
      <c r="C60" s="256"/>
      <c r="D60" s="548">
        <f>P50/D58</f>
        <v>4.632448304219916</v>
      </c>
      <c r="E60" s="549"/>
      <c r="F60" s="549"/>
      <c r="G60" s="549"/>
      <c r="H60" s="549"/>
      <c r="I60" s="549"/>
      <c r="J60" s="549"/>
      <c r="K60" s="549"/>
      <c r="L60" s="549"/>
      <c r="M60" s="549"/>
      <c r="N60" s="549"/>
      <c r="O60" s="549"/>
      <c r="P60" s="550"/>
      <c r="Q60" s="549">
        <f>AC50/Q58</f>
        <v>3.941654906921928</v>
      </c>
      <c r="R60" s="549"/>
      <c r="S60" s="549"/>
      <c r="T60" s="549"/>
      <c r="U60" s="549"/>
      <c r="V60" s="549"/>
      <c r="W60" s="549"/>
      <c r="X60" s="549"/>
      <c r="Y60" s="549"/>
      <c r="Z60" s="549"/>
      <c r="AA60" s="549"/>
      <c r="AB60" s="549"/>
      <c r="AC60" s="550"/>
    </row>
    <row r="61" spans="1:29">
      <c r="A61" s="210"/>
      <c r="B61" s="212"/>
      <c r="C61" s="212"/>
      <c r="D61" s="21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246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126"/>
    </row>
    <row r="62" spans="1:29">
      <c r="A62" s="210">
        <v>7</v>
      </c>
      <c r="B62" s="257" t="s">
        <v>196</v>
      </c>
      <c r="C62" s="258">
        <f>0-D58</f>
        <v>-520000</v>
      </c>
      <c r="D62" s="259">
        <f>C62+D50</f>
        <v>-576939.63</v>
      </c>
      <c r="E62" s="259">
        <f t="shared" ref="E62:AA62" si="32">D62+E50</f>
        <v>-522988.42200000002</v>
      </c>
      <c r="F62" s="259">
        <f t="shared" si="32"/>
        <v>-427518.25200000004</v>
      </c>
      <c r="G62" s="259">
        <f t="shared" si="32"/>
        <v>-296995.04400000011</v>
      </c>
      <c r="H62" s="259">
        <f t="shared" si="32"/>
        <v>-138260.62800000014</v>
      </c>
      <c r="I62" s="259">
        <f t="shared" si="32"/>
        <v>124775.9132999999</v>
      </c>
      <c r="J62" s="259">
        <f t="shared" si="32"/>
        <v>411256.23598499986</v>
      </c>
      <c r="K62" s="259">
        <f t="shared" si="32"/>
        <v>738923.00478824996</v>
      </c>
      <c r="L62" s="259">
        <f t="shared" si="32"/>
        <v>1042524.6062324625</v>
      </c>
      <c r="M62" s="259">
        <f t="shared" si="32"/>
        <v>1338979.5607898454</v>
      </c>
      <c r="N62" s="259">
        <f t="shared" si="32"/>
        <v>1598374.6732042497</v>
      </c>
      <c r="O62" s="259">
        <f t="shared" si="32"/>
        <v>1888873.1181943566</v>
      </c>
      <c r="P62" s="260"/>
      <c r="Q62" s="259">
        <f>O62+Q50</f>
        <v>2099486.6579921166</v>
      </c>
      <c r="R62" s="259">
        <f t="shared" si="32"/>
        <v>2445612.7547797649</v>
      </c>
      <c r="S62" s="259">
        <f t="shared" si="32"/>
        <v>2885473.8664067956</v>
      </c>
      <c r="T62" s="259">
        <f t="shared" si="32"/>
        <v>3451557.0586151779</v>
      </c>
      <c r="U62" s="259">
        <f t="shared" si="32"/>
        <v>4160940.4729339788</v>
      </c>
      <c r="V62" s="259">
        <f t="shared" si="32"/>
        <v>5011659.1372187193</v>
      </c>
      <c r="W62" s="259">
        <f t="shared" si="32"/>
        <v>5990991.1403926974</v>
      </c>
      <c r="X62" s="259">
        <f t="shared" si="32"/>
        <v>7106342.8654778739</v>
      </c>
      <c r="Y62" s="259">
        <f t="shared" si="32"/>
        <v>8376619.5705260597</v>
      </c>
      <c r="Z62" s="259">
        <f t="shared" si="32"/>
        <v>9659523.4056889787</v>
      </c>
      <c r="AA62" s="259">
        <f t="shared" si="32"/>
        <v>10586782.239920788</v>
      </c>
      <c r="AB62" s="259">
        <f>AA62+AB50</f>
        <v>11383819.664677467</v>
      </c>
      <c r="AC62" s="126"/>
    </row>
    <row r="63" spans="1:29" ht="15.75" thickBot="1">
      <c r="A63" s="127"/>
      <c r="B63" s="261" t="s">
        <v>197</v>
      </c>
      <c r="C63" s="262">
        <f xml:space="preserve"> (C62 + $D58) / $D58</f>
        <v>0</v>
      </c>
      <c r="D63" s="263">
        <f xml:space="preserve"> (D62 + $D58) / $D58</f>
        <v>-0.10949928846153847</v>
      </c>
      <c r="E63" s="263">
        <f xml:space="preserve"> (E62 + $D58) / $D58</f>
        <v>-5.7469653846154243E-3</v>
      </c>
      <c r="F63" s="263">
        <f t="shared" ref="F63:O63" si="33" xml:space="preserve"> (F62 + $D58) / $D58</f>
        <v>0.17784951538461533</v>
      </c>
      <c r="G63" s="263">
        <f t="shared" si="33"/>
        <v>0.42885568461538442</v>
      </c>
      <c r="H63" s="263">
        <f t="shared" si="33"/>
        <v>0.73411417692307668</v>
      </c>
      <c r="I63" s="263">
        <f t="shared" si="33"/>
        <v>1.2399536794230768</v>
      </c>
      <c r="J63" s="263">
        <f t="shared" si="33"/>
        <v>1.7908773768942305</v>
      </c>
      <c r="K63" s="263">
        <f t="shared" si="33"/>
        <v>2.4210057784389423</v>
      </c>
      <c r="L63" s="263">
        <f t="shared" si="33"/>
        <v>3.0048550119855046</v>
      </c>
      <c r="M63" s="263">
        <f t="shared" si="33"/>
        <v>3.5749606938266258</v>
      </c>
      <c r="N63" s="263">
        <f t="shared" si="33"/>
        <v>4.073797448469711</v>
      </c>
      <c r="O63" s="263">
        <f t="shared" si="33"/>
        <v>4.632448304219916</v>
      </c>
      <c r="P63" s="264"/>
      <c r="Q63" s="263">
        <f t="shared" ref="Q63:AA63" si="34" xml:space="preserve"> (Q62 + $D58) / $D58</f>
        <v>5.0374743422925317</v>
      </c>
      <c r="R63" s="263">
        <f t="shared" si="34"/>
        <v>5.7031014514995482</v>
      </c>
      <c r="S63" s="263">
        <f t="shared" si="34"/>
        <v>6.5489882046284533</v>
      </c>
      <c r="T63" s="263">
        <f t="shared" si="34"/>
        <v>7.6376097281061117</v>
      </c>
      <c r="U63" s="263">
        <f t="shared" si="34"/>
        <v>9.0018086017961139</v>
      </c>
      <c r="V63" s="263">
        <f t="shared" si="34"/>
        <v>10.637806033112922</v>
      </c>
      <c r="W63" s="263">
        <f t="shared" si="34"/>
        <v>12.521136808447496</v>
      </c>
      <c r="X63" s="263">
        <f t="shared" si="34"/>
        <v>14.666043972072835</v>
      </c>
      <c r="Y63" s="263">
        <f t="shared" si="34"/>
        <v>17.108883789473193</v>
      </c>
      <c r="Z63" s="263">
        <f t="shared" si="34"/>
        <v>19.576006549401882</v>
      </c>
      <c r="AA63" s="263">
        <f t="shared" si="34"/>
        <v>21.359196615232285</v>
      </c>
      <c r="AB63" s="263">
        <f xml:space="preserve"> (AB62 + $D58) / $D58</f>
        <v>22.891960893610513</v>
      </c>
      <c r="AC63" s="129"/>
    </row>
  </sheetData>
  <mergeCells count="4">
    <mergeCell ref="P2:P3"/>
    <mergeCell ref="AC2:AC3"/>
    <mergeCell ref="D60:P60"/>
    <mergeCell ref="Q60:AC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G30"/>
  <sheetViews>
    <sheetView topLeftCell="A9" workbookViewId="0">
      <selection activeCell="B16" sqref="B16"/>
    </sheetView>
  </sheetViews>
  <sheetFormatPr defaultRowHeight="15"/>
  <cols>
    <col min="1" max="1" width="42" customWidth="1"/>
    <col min="2" max="2" width="17.140625" customWidth="1"/>
    <col min="3" max="3" width="13.5703125" customWidth="1"/>
    <col min="4" max="4" width="12.140625" customWidth="1"/>
    <col min="5" max="5" width="10.85546875" customWidth="1"/>
    <col min="6" max="6" width="13" customWidth="1"/>
    <col min="7" max="7" width="13.5703125" customWidth="1"/>
    <col min="8" max="8" width="13.28515625" customWidth="1"/>
    <col min="9" max="9" width="14.7109375" customWidth="1"/>
    <col min="10" max="10" width="15.28515625" customWidth="1"/>
    <col min="11" max="11" width="11.28515625" customWidth="1"/>
    <col min="12" max="12" width="11.140625" customWidth="1"/>
    <col min="21" max="21" width="14.140625" customWidth="1"/>
    <col min="22" max="22" width="12.7109375" customWidth="1"/>
    <col min="23" max="24" width="13.42578125" customWidth="1"/>
    <col min="25" max="25" width="13.28515625" customWidth="1"/>
    <col min="26" max="26" width="12.28515625" customWidth="1"/>
  </cols>
  <sheetData>
    <row r="1" spans="1:26">
      <c r="A1" t="s">
        <v>279</v>
      </c>
    </row>
    <row r="3" spans="1:26">
      <c r="A3" s="413" t="s">
        <v>73</v>
      </c>
      <c r="B3" s="414">
        <v>0</v>
      </c>
      <c r="C3" s="415" t="s">
        <v>117</v>
      </c>
      <c r="D3" s="416"/>
      <c r="E3" s="417"/>
      <c r="F3" s="416"/>
      <c r="G3" s="416"/>
      <c r="H3" s="416"/>
      <c r="I3" s="415"/>
      <c r="J3" s="416"/>
      <c r="K3" s="417"/>
      <c r="L3" s="416"/>
      <c r="M3" s="416"/>
      <c r="N3" s="416"/>
      <c r="O3" s="415" t="s">
        <v>127</v>
      </c>
      <c r="P3" s="416"/>
      <c r="Q3" s="417"/>
      <c r="R3" s="416"/>
      <c r="S3" s="416"/>
      <c r="T3" s="416"/>
      <c r="U3" s="415"/>
      <c r="V3" s="416"/>
      <c r="W3" s="417"/>
      <c r="X3" s="416"/>
      <c r="Y3" s="416"/>
      <c r="Z3" s="417"/>
    </row>
    <row r="4" spans="1:26">
      <c r="A4" s="413" t="str">
        <f>БДР!C10</f>
        <v>№ Месяца</v>
      </c>
      <c r="B4" s="414"/>
      <c r="C4" s="418">
        <f>БДР!E10</f>
        <v>1</v>
      </c>
      <c r="D4" s="418">
        <f>БДР!F10</f>
        <v>2</v>
      </c>
      <c r="E4" s="418">
        <f>БДР!G10</f>
        <v>3</v>
      </c>
      <c r="F4" s="418">
        <f>БДР!H10</f>
        <v>4</v>
      </c>
      <c r="G4" s="418">
        <f>БДР!I10</f>
        <v>5</v>
      </c>
      <c r="H4" s="418">
        <f>БДР!J10</f>
        <v>6</v>
      </c>
      <c r="I4" s="418">
        <f>БДР!K10</f>
        <v>7</v>
      </c>
      <c r="J4" s="418">
        <f>БДР!L10</f>
        <v>8</v>
      </c>
      <c r="K4" s="418">
        <f>БДР!M10</f>
        <v>9</v>
      </c>
      <c r="L4" s="418">
        <f>БДР!N10</f>
        <v>10</v>
      </c>
      <c r="M4" s="418">
        <f>БДР!O10</f>
        <v>11</v>
      </c>
      <c r="N4" s="418">
        <f>БДР!P10</f>
        <v>12</v>
      </c>
      <c r="O4" s="418">
        <f>БДР!Q10</f>
        <v>13</v>
      </c>
      <c r="P4" s="418">
        <f>БДР!R10</f>
        <v>14</v>
      </c>
      <c r="Q4" s="418">
        <f>БДР!S10</f>
        <v>15</v>
      </c>
      <c r="R4" s="418">
        <f>БДР!T10</f>
        <v>16</v>
      </c>
      <c r="S4" s="418">
        <f>БДР!U10</f>
        <v>17</v>
      </c>
      <c r="T4" s="418">
        <f>БДР!V10</f>
        <v>18</v>
      </c>
      <c r="U4" s="418">
        <f>БДР!W10</f>
        <v>19</v>
      </c>
      <c r="V4" s="418">
        <f>БДР!X10</f>
        <v>20</v>
      </c>
      <c r="W4" s="418">
        <f>БДР!Y10</f>
        <v>21</v>
      </c>
      <c r="X4" s="418">
        <f>БДР!Z10</f>
        <v>22</v>
      </c>
      <c r="Y4" s="418">
        <f>БДР!AA10</f>
        <v>23</v>
      </c>
      <c r="Z4" s="418">
        <f>БДР!AB10</f>
        <v>24</v>
      </c>
    </row>
    <row r="5" spans="1:26">
      <c r="A5" s="272" t="s">
        <v>280</v>
      </c>
      <c r="B5" s="419">
        <f>БДР!D33</f>
        <v>0</v>
      </c>
      <c r="C5" s="420">
        <f>БДР!E33</f>
        <v>-581625.12308333337</v>
      </c>
      <c r="D5" s="420">
        <f>БДР!F33</f>
        <v>-468015.88448333333</v>
      </c>
      <c r="E5" s="420">
        <f>БДР!G33</f>
        <v>-306754.93090000004</v>
      </c>
      <c r="F5" s="420">
        <f>БДР!H33</f>
        <v>-105452.69563333344</v>
      </c>
      <c r="G5" s="420">
        <f>БДР!I33</f>
        <v>127853.93006666654</v>
      </c>
      <c r="H5" s="420">
        <f>БДР!J33</f>
        <v>481655.00999749987</v>
      </c>
      <c r="I5" s="420">
        <f>БДР!K33</f>
        <v>861546.14906554157</v>
      </c>
      <c r="J5" s="420">
        <f>БДР!L33</f>
        <v>1288809.4764157853</v>
      </c>
      <c r="K5" s="420">
        <f>БДР!M33</f>
        <v>1685378.3528729347</v>
      </c>
      <c r="L5" s="420">
        <f>БДР!N33</f>
        <v>2071794.4101068801</v>
      </c>
      <c r="M5" s="420">
        <f>БДР!O33</f>
        <v>2414038.9771132492</v>
      </c>
      <c r="N5" s="420">
        <f>БДР!P33</f>
        <v>2791166.1342561417</v>
      </c>
      <c r="O5" s="420">
        <f>БДР!Q33</f>
        <v>3071166.0055972235</v>
      </c>
      <c r="P5" s="420">
        <f>БДР!R33</f>
        <v>3508883.3665053593</v>
      </c>
      <c r="Q5" s="420">
        <f>БДР!S33</f>
        <v>4054483.4420422353</v>
      </c>
      <c r="R5" s="420">
        <f>БДР!T33</f>
        <v>4774513.2398976218</v>
      </c>
      <c r="S5" s="420">
        <f>БДР!U33</f>
        <v>5658559.488583277</v>
      </c>
      <c r="T5" s="420">
        <f>БДР!V33</f>
        <v>6702755.5269802986</v>
      </c>
      <c r="U5" s="420">
        <f>БДР!W33</f>
        <v>7893302.9696894623</v>
      </c>
      <c r="V5" s="420">
        <f>БДР!X33</f>
        <v>9241001.6461805217</v>
      </c>
      <c r="W5" s="420">
        <f>БДР!Y33</f>
        <v>10767890.680328874</v>
      </c>
      <c r="X5" s="420">
        <f>БДР!Z33</f>
        <v>12311075.526639935</v>
      </c>
      <c r="Y5" s="420">
        <f>БДР!AA33</f>
        <v>13434395.704289217</v>
      </c>
      <c r="Z5" s="420">
        <f>БДР!AB33</f>
        <v>14401606.793117376</v>
      </c>
    </row>
    <row r="6" spans="1:26" ht="43.5" customHeight="1">
      <c r="A6" s="425" t="s">
        <v>268</v>
      </c>
      <c r="B6" s="426">
        <f>БДР!D34</f>
        <v>0</v>
      </c>
      <c r="C6" s="426" t="str">
        <f>БДР!E34</f>
        <v/>
      </c>
      <c r="D6" s="426" t="str">
        <f>БДР!F34</f>
        <v/>
      </c>
      <c r="E6" s="426" t="str">
        <f>БДР!G34</f>
        <v/>
      </c>
      <c r="F6" s="426" t="str">
        <f>БДР!H34</f>
        <v/>
      </c>
      <c r="G6" s="426">
        <f>БДР!I34</f>
        <v>5</v>
      </c>
      <c r="H6" s="426" t="str">
        <f>БДР!J34</f>
        <v/>
      </c>
      <c r="I6" s="426" t="str">
        <f>БДР!K34</f>
        <v/>
      </c>
      <c r="J6" s="426" t="str">
        <f>БДР!L34</f>
        <v/>
      </c>
      <c r="K6" s="426" t="str">
        <f>БДР!M34</f>
        <v/>
      </c>
      <c r="L6" s="426" t="str">
        <f>БДР!N34</f>
        <v/>
      </c>
      <c r="M6" s="426" t="str">
        <f>БДР!O34</f>
        <v/>
      </c>
      <c r="N6" s="426" t="str">
        <f>БДР!P34</f>
        <v/>
      </c>
      <c r="O6" s="426" t="str">
        <f>БДР!Q34</f>
        <v/>
      </c>
      <c r="P6" s="426" t="str">
        <f>БДР!R34</f>
        <v/>
      </c>
      <c r="Q6" s="426" t="str">
        <f>БДР!S34</f>
        <v/>
      </c>
      <c r="R6" s="426" t="str">
        <f>БДР!T34</f>
        <v/>
      </c>
      <c r="S6" s="426" t="str">
        <f>БДР!U34</f>
        <v/>
      </c>
      <c r="T6" s="426" t="str">
        <f>БДР!V34</f>
        <v/>
      </c>
      <c r="U6" s="426" t="str">
        <f>БДР!W34</f>
        <v/>
      </c>
      <c r="V6" s="426" t="str">
        <f>БДР!X34</f>
        <v/>
      </c>
      <c r="W6" s="426" t="str">
        <f>БДР!Y34</f>
        <v/>
      </c>
      <c r="X6" s="426" t="str">
        <f>БДР!Z34</f>
        <v/>
      </c>
      <c r="Y6" s="426" t="str">
        <f>БДР!AA34</f>
        <v/>
      </c>
      <c r="Z6" s="426" t="str">
        <f>БДР!AB34</f>
        <v/>
      </c>
    </row>
    <row r="8" spans="1:26">
      <c r="A8" s="422" t="s">
        <v>281</v>
      </c>
      <c r="B8" s="422" t="s">
        <v>282</v>
      </c>
      <c r="C8" s="422" t="s">
        <v>283</v>
      </c>
      <c r="D8" s="422" t="s">
        <v>284</v>
      </c>
      <c r="E8" s="422" t="s">
        <v>285</v>
      </c>
      <c r="F8" s="422" t="s">
        <v>286</v>
      </c>
      <c r="G8" s="422" t="s">
        <v>287</v>
      </c>
      <c r="H8" s="422" t="s">
        <v>288</v>
      </c>
      <c r="I8" s="422" t="s">
        <v>289</v>
      </c>
    </row>
    <row r="9" spans="1:26">
      <c r="A9" s="422" t="s">
        <v>280</v>
      </c>
      <c r="B9" s="423">
        <f>C5</f>
        <v>-581625.12308333337</v>
      </c>
      <c r="C9" s="423">
        <f>F5</f>
        <v>-105452.69563333344</v>
      </c>
      <c r="D9" s="423">
        <f>I5</f>
        <v>861546.14906554157</v>
      </c>
      <c r="E9" s="423">
        <f>L5</f>
        <v>2071794.4101068801</v>
      </c>
      <c r="F9" s="423">
        <f>O5</f>
        <v>3071166.0055972235</v>
      </c>
      <c r="G9" s="423">
        <f>R5</f>
        <v>4774513.2398976218</v>
      </c>
      <c r="H9" s="423">
        <f>U5</f>
        <v>7893302.9696894623</v>
      </c>
      <c r="I9" s="423">
        <f>X5</f>
        <v>12311075.526639935</v>
      </c>
      <c r="J9" s="424"/>
      <c r="K9" s="424"/>
      <c r="L9" s="424"/>
      <c r="M9" s="424"/>
      <c r="N9" s="424"/>
    </row>
    <row r="13" spans="1:26">
      <c r="A13" t="s">
        <v>290</v>
      </c>
    </row>
    <row r="14" spans="1:26">
      <c r="A14" s="427"/>
      <c r="B14" s="428">
        <v>0</v>
      </c>
      <c r="C14" s="429">
        <v>0.1</v>
      </c>
      <c r="D14" s="429">
        <v>0.2</v>
      </c>
      <c r="E14" s="429">
        <v>0.30000000000000004</v>
      </c>
      <c r="F14" s="429">
        <v>0.4</v>
      </c>
      <c r="G14" s="429">
        <v>0.5</v>
      </c>
      <c r="H14" s="429">
        <v>0.6</v>
      </c>
      <c r="I14" s="429">
        <v>0.7</v>
      </c>
      <c r="J14" s="429">
        <v>0.79999999999999993</v>
      </c>
      <c r="K14" s="429">
        <v>0.89999999999999991</v>
      </c>
      <c r="L14" s="430">
        <v>0.99999999999999989</v>
      </c>
    </row>
    <row r="15" spans="1:26">
      <c r="A15" s="431" t="s">
        <v>291</v>
      </c>
      <c r="B15" s="432">
        <f>B20+B23+B27</f>
        <v>30618.819444444449</v>
      </c>
      <c r="C15" s="432">
        <f t="shared" ref="C15:L15" si="0">C20+C23+C27</f>
        <v>30618.819444444449</v>
      </c>
      <c r="D15" s="432">
        <f t="shared" si="0"/>
        <v>30618.819444444449</v>
      </c>
      <c r="E15" s="432">
        <f t="shared" si="0"/>
        <v>30618.819444444449</v>
      </c>
      <c r="F15" s="432">
        <f t="shared" si="0"/>
        <v>30618.819444444449</v>
      </c>
      <c r="G15" s="432">
        <f t="shared" si="0"/>
        <v>30618.819444444449</v>
      </c>
      <c r="H15" s="432">
        <f t="shared" si="0"/>
        <v>30618.819444444449</v>
      </c>
      <c r="I15" s="432">
        <f t="shared" si="0"/>
        <v>30618.819444444449</v>
      </c>
      <c r="J15" s="432">
        <f t="shared" si="0"/>
        <v>30618.819444444449</v>
      </c>
      <c r="K15" s="432">
        <f t="shared" si="0"/>
        <v>30618.819444444449</v>
      </c>
      <c r="L15" s="432">
        <f t="shared" si="0"/>
        <v>30618.819444444449</v>
      </c>
    </row>
    <row r="16" spans="1:26">
      <c r="A16" s="433" t="s">
        <v>292</v>
      </c>
      <c r="B16" s="434">
        <f>B21+B25</f>
        <v>71065.164296223549</v>
      </c>
      <c r="C16" s="434">
        <f t="shared" ref="C16:L16" si="1">C21+C25</f>
        <v>72609.790119401267</v>
      </c>
      <c r="D16" s="434">
        <f t="shared" si="1"/>
        <v>74154.415942578984</v>
      </c>
      <c r="E16" s="434">
        <f t="shared" si="1"/>
        <v>75699.041765756701</v>
      </c>
      <c r="F16" s="434">
        <f t="shared" si="1"/>
        <v>77243.667588934419</v>
      </c>
      <c r="G16" s="434">
        <f t="shared" si="1"/>
        <v>78788.293412112136</v>
      </c>
      <c r="H16" s="434">
        <f t="shared" si="1"/>
        <v>80332.919235289854</v>
      </c>
      <c r="I16" s="434">
        <f t="shared" si="1"/>
        <v>81877.545058467571</v>
      </c>
      <c r="J16" s="434">
        <f t="shared" si="1"/>
        <v>83422.170881645288</v>
      </c>
      <c r="K16" s="434">
        <f t="shared" si="1"/>
        <v>84966.796704823006</v>
      </c>
      <c r="L16" s="434">
        <f t="shared" si="1"/>
        <v>86511.422528000723</v>
      </c>
    </row>
    <row r="17" spans="1:33">
      <c r="A17" s="213" t="s">
        <v>258</v>
      </c>
      <c r="B17" s="434">
        <f>Результат!$D$9*Безубыточность!B14</f>
        <v>0</v>
      </c>
      <c r="C17" s="434">
        <f>Результат!$D$9*Безубыточность!C14</f>
        <v>79211.580675780409</v>
      </c>
      <c r="D17" s="434">
        <f>Результат!$D$9*Безубыточность!D14</f>
        <v>158423.16135156082</v>
      </c>
      <c r="E17" s="434">
        <f>Результат!$D$9*Безубыточность!E14</f>
        <v>237634.74202734124</v>
      </c>
      <c r="F17" s="434">
        <f>Результат!$D$9*Безубыточность!F14</f>
        <v>316846.32270312164</v>
      </c>
      <c r="G17" s="434">
        <f>Результат!$D$9*Безубыточность!G14</f>
        <v>396057.903378902</v>
      </c>
      <c r="H17" s="434">
        <f>Результат!$D$9*Безубыточность!H14</f>
        <v>475269.48405468237</v>
      </c>
      <c r="I17" s="434">
        <f>Результат!$D$9*Безубыточность!I14</f>
        <v>554481.06473046273</v>
      </c>
      <c r="J17" s="434">
        <f>Результат!$D$9*Безубыточность!J14</f>
        <v>633692.64540624316</v>
      </c>
      <c r="K17" s="434">
        <f>Результат!$D$9*Безубыточность!K14</f>
        <v>712904.22608202358</v>
      </c>
      <c r="L17" s="434">
        <f>Результат!$D$9*Безубыточность!L14</f>
        <v>792115.80675780389</v>
      </c>
    </row>
    <row r="18" spans="1:33">
      <c r="A18" s="213" t="s">
        <v>293</v>
      </c>
      <c r="B18" s="435">
        <f>SUM(B15:B16)</f>
        <v>101683.983740668</v>
      </c>
      <c r="C18" s="435">
        <f t="shared" ref="C18:K18" si="2">SUM(C15:C16)</f>
        <v>103228.60956384572</v>
      </c>
      <c r="D18" s="435">
        <f t="shared" si="2"/>
        <v>104773.23538702344</v>
      </c>
      <c r="E18" s="435">
        <f t="shared" si="2"/>
        <v>106317.86121020115</v>
      </c>
      <c r="F18" s="435">
        <f t="shared" si="2"/>
        <v>107862.48703337887</v>
      </c>
      <c r="G18" s="435">
        <f t="shared" si="2"/>
        <v>109407.11285655659</v>
      </c>
      <c r="H18" s="435">
        <f t="shared" si="2"/>
        <v>110951.73867973431</v>
      </c>
      <c r="I18" s="435">
        <f t="shared" si="2"/>
        <v>112496.36450291202</v>
      </c>
      <c r="J18" s="435">
        <f t="shared" si="2"/>
        <v>114040.99032608974</v>
      </c>
      <c r="K18" s="435">
        <f t="shared" si="2"/>
        <v>115585.61614926746</v>
      </c>
      <c r="L18" s="435">
        <f>SUM(L15:L16)</f>
        <v>117130.24197244518</v>
      </c>
    </row>
    <row r="19" spans="1:33">
      <c r="A19" s="436" t="str">
        <f>БДР!C12</f>
        <v>Ежемесячные затраты, в том числе: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7"/>
    </row>
    <row r="20" spans="1:33">
      <c r="A20" s="436" t="str">
        <f>БДР!C13</f>
        <v>Аренда</v>
      </c>
      <c r="B20" s="434">
        <f>AVERAGE(БДР!$E$13:$AB$13)</f>
        <v>5000</v>
      </c>
      <c r="C20" s="434">
        <f>AVERAGE(БДР!$E$13:$AB$13)</f>
        <v>5000</v>
      </c>
      <c r="D20" s="434">
        <f>AVERAGE(БДР!$E$13:$AB$13)</f>
        <v>5000</v>
      </c>
      <c r="E20" s="434">
        <f>AVERAGE(БДР!$E$13:$AB$13)</f>
        <v>5000</v>
      </c>
      <c r="F20" s="434">
        <f>AVERAGE(БДР!$E$13:$AB$13)</f>
        <v>5000</v>
      </c>
      <c r="G20" s="434">
        <f>AVERAGE(БДР!$E$13:$AB$13)</f>
        <v>5000</v>
      </c>
      <c r="H20" s="434">
        <f>AVERAGE(БДР!$E$13:$AB$13)</f>
        <v>5000</v>
      </c>
      <c r="I20" s="434">
        <f>AVERAGE(БДР!$E$13:$AB$13)</f>
        <v>5000</v>
      </c>
      <c r="J20" s="434">
        <f>AVERAGE(БДР!$E$13:$AB$13)</f>
        <v>5000</v>
      </c>
      <c r="K20" s="434">
        <f>AVERAGE(БДР!$E$13:$AB$13)</f>
        <v>5000</v>
      </c>
      <c r="L20" s="434">
        <f>AVERAGE(БДР!$E$13:$AB$13)</f>
        <v>5000</v>
      </c>
    </row>
    <row r="21" spans="1:33">
      <c r="A21" s="436" t="str">
        <f>БДР!C14</f>
        <v>ФОТ административных сотрудников</v>
      </c>
      <c r="B21" s="434">
        <f>B22+B22*Параметры!$F$55</f>
        <v>31200</v>
      </c>
      <c r="C21" s="434">
        <f>C22+C22*Параметры!$F$55</f>
        <v>32744.625823177717</v>
      </c>
      <c r="D21" s="434">
        <f>D22+D22*Параметры!$F$55</f>
        <v>34289.251646355435</v>
      </c>
      <c r="E21" s="434">
        <f>E22+E22*Параметры!$F$55</f>
        <v>35833.877469533152</v>
      </c>
      <c r="F21" s="434">
        <f>F22+F22*Параметры!$F$55</f>
        <v>37378.50329271087</v>
      </c>
      <c r="G21" s="434">
        <f>G22+G22*Параметры!$F$55</f>
        <v>38923.129115888587</v>
      </c>
      <c r="H21" s="434">
        <f>H22+H22*Параметры!$F$55</f>
        <v>40467.754939066304</v>
      </c>
      <c r="I21" s="434">
        <f>I22+I22*Параметры!$F$55</f>
        <v>42012.380762244022</v>
      </c>
      <c r="J21" s="434">
        <f>J22+J22*Параметры!$F$55</f>
        <v>43557.006585421746</v>
      </c>
      <c r="K21" s="434">
        <f>K22+K22*Параметры!$F$55</f>
        <v>45101.632408599457</v>
      </c>
      <c r="L21" s="434">
        <f>L22+L22*Параметры!$F$55</f>
        <v>46646.258231777174</v>
      </c>
    </row>
    <row r="22" spans="1:33">
      <c r="A22" s="436" t="s">
        <v>297</v>
      </c>
      <c r="B22" s="434">
        <f>Параметры!$F$54*Параметры!$E$54+Параметры!$G$54*Безубыточность!B17</f>
        <v>24000</v>
      </c>
      <c r="C22" s="434">
        <f>Параметры!$F$54*Параметры!$E$54+Параметры!$G$54*Безубыточность!C17</f>
        <v>25188.173710136707</v>
      </c>
      <c r="D22" s="434">
        <f>Параметры!$F$54*Параметры!$E$54+Параметры!$G$54*Безубыточность!D17</f>
        <v>26376.347420273414</v>
      </c>
      <c r="E22" s="434">
        <f>Параметры!$F$54*Параметры!$E$54+Параметры!$G$54*Безубыточность!E17</f>
        <v>27564.521130410118</v>
      </c>
      <c r="F22" s="434">
        <f>Параметры!$F$54*Параметры!$E$54+Параметры!$G$54*Безубыточность!F17</f>
        <v>28752.694840546825</v>
      </c>
      <c r="G22" s="434">
        <f>Параметры!$F$54*Параметры!$E$54+Параметры!$G$54*Безубыточность!G17</f>
        <v>29940.868550683532</v>
      </c>
      <c r="H22" s="434">
        <f>Параметры!$F$54*Параметры!$E$54+Параметры!$G$54*Безубыточность!H17</f>
        <v>31129.042260820235</v>
      </c>
      <c r="I22" s="434">
        <f>Параметры!$F$54*Параметры!$E$54+Параметры!$G$54*Безубыточность!I17</f>
        <v>32317.215970956939</v>
      </c>
      <c r="J22" s="434">
        <f>Параметры!$F$54*Параметры!$E$54+Параметры!$G$54*Безубыточность!J17</f>
        <v>33505.389681093649</v>
      </c>
      <c r="K22" s="434">
        <f>Параметры!$F$54*Параметры!$E$54+Параметры!$G$54*Безубыточность!K17</f>
        <v>34693.563391230353</v>
      </c>
      <c r="L22" s="434">
        <f>Параметры!$F$54*Параметры!$E$54+Параметры!$G$54*Безубыточность!L17</f>
        <v>35881.737101367056</v>
      </c>
    </row>
    <row r="23" spans="1:33">
      <c r="A23" s="436" t="str">
        <f>БДР!C17</f>
        <v>Организационные расходы</v>
      </c>
      <c r="B23" s="434">
        <f>AVERAGE($B$24:$Y$24)</f>
        <v>2190</v>
      </c>
      <c r="C23" s="434">
        <f t="shared" ref="C23:L23" si="3">AVERAGE($B$24:$Y$24)</f>
        <v>2190</v>
      </c>
      <c r="D23" s="434">
        <f t="shared" si="3"/>
        <v>2190</v>
      </c>
      <c r="E23" s="434">
        <f t="shared" si="3"/>
        <v>2190</v>
      </c>
      <c r="F23" s="434">
        <f t="shared" si="3"/>
        <v>2190</v>
      </c>
      <c r="G23" s="434">
        <f t="shared" si="3"/>
        <v>2190</v>
      </c>
      <c r="H23" s="434">
        <f t="shared" si="3"/>
        <v>2190</v>
      </c>
      <c r="I23" s="434">
        <f t="shared" si="3"/>
        <v>2190</v>
      </c>
      <c r="J23" s="434">
        <f t="shared" si="3"/>
        <v>2190</v>
      </c>
      <c r="K23" s="434">
        <f t="shared" si="3"/>
        <v>2190</v>
      </c>
      <c r="L23" s="434">
        <f t="shared" si="3"/>
        <v>2190</v>
      </c>
    </row>
    <row r="24" spans="1:33">
      <c r="A24" s="436" t="s">
        <v>296</v>
      </c>
      <c r="B24" s="434">
        <f>БДР!E17-БДР!E23</f>
        <v>2190</v>
      </c>
      <c r="C24" s="434">
        <f>БДР!F17-БДР!F23</f>
        <v>2190</v>
      </c>
      <c r="D24" s="434">
        <f>БДР!G17-БДР!G23</f>
        <v>2190</v>
      </c>
      <c r="E24" s="434">
        <f>БДР!H17-БДР!H23</f>
        <v>2190</v>
      </c>
      <c r="F24" s="434">
        <f>БДР!I17-БДР!I23</f>
        <v>2190</v>
      </c>
      <c r="G24" s="434">
        <f>БДР!J17-БДР!J23</f>
        <v>2190</v>
      </c>
      <c r="H24" s="434">
        <f>БДР!K17-БДР!K23</f>
        <v>2190</v>
      </c>
      <c r="I24" s="434">
        <f>БДР!L17-БДР!L23</f>
        <v>2190</v>
      </c>
      <c r="J24" s="434">
        <f>БДР!M17-БДР!M23</f>
        <v>2190</v>
      </c>
      <c r="K24" s="434">
        <f>БДР!N17-БДР!N23</f>
        <v>2190</v>
      </c>
      <c r="L24" s="434">
        <f>БДР!O17-БДР!O23</f>
        <v>2190</v>
      </c>
      <c r="M24" s="434">
        <f>БДР!P17-БДР!P23</f>
        <v>2190</v>
      </c>
      <c r="N24" s="434">
        <f>БДР!Q17-БДР!Q23</f>
        <v>2190</v>
      </c>
      <c r="O24" s="434">
        <f>БДР!R17-БДР!R23</f>
        <v>2190</v>
      </c>
      <c r="P24" s="434">
        <f>БДР!S17-БДР!S23</f>
        <v>2190</v>
      </c>
      <c r="Q24" s="434">
        <f>БДР!T17-БДР!T23</f>
        <v>2190</v>
      </c>
      <c r="R24" s="434">
        <f>БДР!U17-БДР!U23</f>
        <v>2190</v>
      </c>
      <c r="S24" s="434">
        <f>БДР!V17-БДР!V23</f>
        <v>2190</v>
      </c>
      <c r="T24" s="434">
        <f>БДР!W17-БДР!W23</f>
        <v>2190</v>
      </c>
      <c r="U24" s="434">
        <f>БДР!X17-БДР!X23</f>
        <v>2190</v>
      </c>
      <c r="V24" s="434">
        <f>БДР!Y17-БДР!Y23</f>
        <v>2190</v>
      </c>
      <c r="W24" s="434">
        <f>БДР!Z17-БДР!Z23</f>
        <v>2190</v>
      </c>
      <c r="X24" s="434">
        <f>БДР!AA17-БДР!AA23</f>
        <v>2190</v>
      </c>
      <c r="Y24" s="434">
        <f>БДР!AB17-БДР!AB23</f>
        <v>2190</v>
      </c>
      <c r="Z24" s="434"/>
      <c r="AA24" s="434"/>
      <c r="AB24" s="434"/>
      <c r="AC24" s="434"/>
      <c r="AD24" s="434"/>
      <c r="AE24" s="434"/>
      <c r="AF24" s="434"/>
      <c r="AG24" s="434"/>
    </row>
    <row r="25" spans="1:33">
      <c r="A25" s="436" t="str">
        <f>БДР!C23</f>
        <v>Реклама</v>
      </c>
      <c r="B25" s="435">
        <f>AVERAGE(БДР!$E$23:$AB$23)</f>
        <v>39865.164296223542</v>
      </c>
      <c r="C25" s="435">
        <f>AVERAGE(БДР!$E$23:$AB$23)</f>
        <v>39865.164296223542</v>
      </c>
      <c r="D25" s="435">
        <f>AVERAGE(БДР!$E$23:$AB$23)</f>
        <v>39865.164296223542</v>
      </c>
      <c r="E25" s="435">
        <f>AVERAGE(БДР!$E$23:$AB$23)</f>
        <v>39865.164296223542</v>
      </c>
      <c r="F25" s="435">
        <f>AVERAGE(БДР!$E$23:$AB$23)</f>
        <v>39865.164296223542</v>
      </c>
      <c r="G25" s="435">
        <f>AVERAGE(БДР!$E$23:$AB$23)</f>
        <v>39865.164296223542</v>
      </c>
      <c r="H25" s="435">
        <f>AVERAGE(БДР!$E$23:$AB$23)</f>
        <v>39865.164296223542</v>
      </c>
      <c r="I25" s="435">
        <f>AVERAGE(БДР!$E$23:$AB$23)</f>
        <v>39865.164296223542</v>
      </c>
      <c r="J25" s="435">
        <f>AVERAGE(БДР!$E$23:$AB$23)</f>
        <v>39865.164296223542</v>
      </c>
      <c r="K25" s="435">
        <f>AVERAGE(БДР!$E$23:$AB$23)</f>
        <v>39865.164296223542</v>
      </c>
      <c r="L25" s="435">
        <f>AVERAGE(БДР!$E$23:$AB$23)</f>
        <v>39865.164296223542</v>
      </c>
    </row>
    <row r="26" spans="1:33">
      <c r="A26" s="436" t="str">
        <f>БДР!C24</f>
        <v>Прочие затраты</v>
      </c>
      <c r="B26" s="434">
        <f>AVERAGE(БДР!E24:AB24)</f>
        <v>0</v>
      </c>
      <c r="C26" s="434">
        <f>AVERAGE(БДР!F24:AC24)</f>
        <v>0</v>
      </c>
      <c r="D26" s="434">
        <f>AVERAGE(БДР!G24:AD24)</f>
        <v>0</v>
      </c>
      <c r="E26" s="434">
        <f>AVERAGE(БДР!H24:AE24)</f>
        <v>0</v>
      </c>
      <c r="F26" s="434">
        <f>AVERAGE(БДР!I24:AF24)</f>
        <v>0</v>
      </c>
      <c r="G26" s="434">
        <f>AVERAGE(БДР!J24:AG24)</f>
        <v>0</v>
      </c>
      <c r="H26" s="434">
        <f>AVERAGE(БДР!K24:AH24)</f>
        <v>0</v>
      </c>
      <c r="I26" s="434">
        <f>AVERAGE(БДР!L24:AI24)</f>
        <v>0</v>
      </c>
      <c r="J26" s="434">
        <f>AVERAGE(БДР!M24:AJ24)</f>
        <v>0</v>
      </c>
      <c r="K26" s="434">
        <f>AVERAGE(БДР!N24:AK24)</f>
        <v>0</v>
      </c>
      <c r="L26" s="434">
        <f>AVERAGE(БДР!O24:AL24)</f>
        <v>0</v>
      </c>
    </row>
    <row r="27" spans="1:33">
      <c r="A27" s="436" t="str">
        <f>БДР!C25</f>
        <v>Ежемесячные выплаты по кредиту</v>
      </c>
      <c r="B27" s="434">
        <f>AVERAGE(БДР!$E$25:$AB$25)</f>
        <v>23428.819444444449</v>
      </c>
      <c r="C27" s="434">
        <f>AVERAGE(БДР!$E$25:$AB$25)</f>
        <v>23428.819444444449</v>
      </c>
      <c r="D27" s="434">
        <f>AVERAGE(БДР!$E$25:$AB$25)</f>
        <v>23428.819444444449</v>
      </c>
      <c r="E27" s="434">
        <f>AVERAGE(БДР!$E$25:$AB$25)</f>
        <v>23428.819444444449</v>
      </c>
      <c r="F27" s="434">
        <f>AVERAGE(БДР!$E$25:$AB$25)</f>
        <v>23428.819444444449</v>
      </c>
      <c r="G27" s="434">
        <f>AVERAGE(БДР!$E$25:$AB$25)</f>
        <v>23428.819444444449</v>
      </c>
      <c r="H27" s="434">
        <f>AVERAGE(БДР!$E$25:$AB$25)</f>
        <v>23428.819444444449</v>
      </c>
      <c r="I27" s="434">
        <f>AVERAGE(БДР!$E$25:$AB$25)</f>
        <v>23428.819444444449</v>
      </c>
      <c r="J27" s="434">
        <f>AVERAGE(БДР!$E$25:$AB$25)</f>
        <v>23428.819444444449</v>
      </c>
      <c r="K27" s="434">
        <f>AVERAGE(БДР!$E$25:$AB$25)</f>
        <v>23428.819444444449</v>
      </c>
      <c r="L27" s="434">
        <f>AVERAGE(БДР!$E$25:$AB$25)</f>
        <v>23428.819444444449</v>
      </c>
    </row>
    <row r="28" spans="1:33">
      <c r="A28" s="272" t="s">
        <v>294</v>
      </c>
      <c r="B28" s="438">
        <f>ROUND(L17/B30,0)</f>
        <v>357</v>
      </c>
    </row>
    <row r="29" spans="1:33">
      <c r="A29" s="272" t="s">
        <v>295</v>
      </c>
      <c r="B29" s="439">
        <f>L16/B28</f>
        <v>242.32891464425973</v>
      </c>
    </row>
    <row r="30" spans="1:33">
      <c r="A30" s="421" t="s">
        <v>120</v>
      </c>
      <c r="B30" s="440">
        <f>AVERAGE(Параметры!$F$72:$G$76)</f>
        <v>2216.4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/>
  </sheetPr>
  <dimension ref="A1:K137"/>
  <sheetViews>
    <sheetView showGridLines="0" tabSelected="1" topLeftCell="A67" workbookViewId="0"/>
  </sheetViews>
  <sheetFormatPr defaultColWidth="0" defaultRowHeight="12" zeroHeight="1"/>
  <cols>
    <col min="1" max="1" width="9.140625" style="10" customWidth="1"/>
    <col min="2" max="2" width="12.28515625" style="10" customWidth="1"/>
    <col min="3" max="3" width="29.28515625" style="10" customWidth="1"/>
    <col min="4" max="4" width="11.7109375" style="10" customWidth="1"/>
    <col min="5" max="5" width="13" style="10" customWidth="1"/>
    <col min="6" max="6" width="14.5703125" style="10" customWidth="1"/>
    <col min="7" max="7" width="12.28515625" style="10" customWidth="1"/>
    <col min="8" max="8" width="14.42578125" style="10" customWidth="1"/>
    <col min="9" max="9" width="16.42578125" style="10" customWidth="1"/>
    <col min="10" max="11" width="9.140625" style="10" customWidth="1"/>
    <col min="12" max="16384" width="9.140625" style="10" hidden="1"/>
  </cols>
  <sheetData>
    <row r="1" spans="2:10" ht="12.75" thickBot="1"/>
    <row r="2" spans="2:10">
      <c r="B2" s="11"/>
      <c r="C2" s="12"/>
      <c r="D2" s="12"/>
      <c r="E2" s="12"/>
      <c r="F2" s="12"/>
      <c r="G2" s="12"/>
      <c r="H2" s="12"/>
      <c r="I2" s="12"/>
      <c r="J2" s="13"/>
    </row>
    <row r="3" spans="2:10">
      <c r="B3" s="479"/>
      <c r="C3" s="480"/>
      <c r="D3" s="480"/>
      <c r="E3" s="480"/>
      <c r="F3" s="480"/>
      <c r="G3" s="480"/>
      <c r="H3" s="480"/>
      <c r="I3" s="480"/>
      <c r="J3" s="481"/>
    </row>
    <row r="4" spans="2:10">
      <c r="B4" s="479"/>
      <c r="C4" s="480"/>
      <c r="D4" s="480"/>
      <c r="E4" s="480"/>
      <c r="F4" s="480"/>
      <c r="G4" s="480"/>
      <c r="H4" s="480"/>
      <c r="I4" s="480"/>
      <c r="J4" s="481"/>
    </row>
    <row r="5" spans="2:10">
      <c r="B5" s="479"/>
      <c r="C5" s="480"/>
      <c r="D5" s="480"/>
      <c r="E5" s="480"/>
      <c r="F5" s="480"/>
      <c r="G5" s="480"/>
      <c r="H5" s="480"/>
      <c r="I5" s="480"/>
      <c r="J5" s="481"/>
    </row>
    <row r="6" spans="2:10" ht="12.75" thickBot="1">
      <c r="B6" s="14"/>
      <c r="C6" s="482"/>
      <c r="D6" s="482"/>
      <c r="E6" s="482"/>
      <c r="F6" s="482"/>
      <c r="G6" s="482"/>
      <c r="H6" s="482"/>
      <c r="I6" s="482"/>
      <c r="J6" s="15"/>
    </row>
    <row r="7" spans="2:10">
      <c r="B7" s="16"/>
      <c r="C7" s="483" t="s">
        <v>1</v>
      </c>
      <c r="D7" s="483"/>
      <c r="E7" s="483"/>
      <c r="F7" s="483"/>
      <c r="G7" s="483"/>
      <c r="H7" s="483"/>
      <c r="I7" s="483"/>
      <c r="J7" s="17"/>
    </row>
    <row r="8" spans="2:10" ht="12.75" thickBot="1">
      <c r="B8" s="16"/>
      <c r="C8" s="484" t="s">
        <v>2</v>
      </c>
      <c r="D8" s="484"/>
      <c r="E8" s="484"/>
      <c r="F8" s="484"/>
      <c r="G8" s="484"/>
      <c r="H8" s="484"/>
      <c r="I8" s="484"/>
      <c r="J8" s="17"/>
    </row>
    <row r="9" spans="2:10">
      <c r="B9" s="16"/>
      <c r="C9" s="18"/>
      <c r="D9" s="18"/>
      <c r="E9" s="18"/>
      <c r="F9" s="18"/>
      <c r="G9" s="18"/>
      <c r="H9" s="18"/>
      <c r="I9" s="18"/>
      <c r="J9" s="17"/>
    </row>
    <row r="10" spans="2:10">
      <c r="B10" s="14"/>
      <c r="C10" s="19" t="s">
        <v>3</v>
      </c>
      <c r="D10" s="20"/>
      <c r="E10" s="21"/>
      <c r="F10" s="21"/>
      <c r="G10" s="21"/>
      <c r="H10" s="21"/>
      <c r="I10" s="21"/>
      <c r="J10" s="22"/>
    </row>
    <row r="11" spans="2:10">
      <c r="B11" s="14"/>
      <c r="C11" s="23" t="s">
        <v>4</v>
      </c>
      <c r="D11" s="21"/>
      <c r="E11" s="21"/>
      <c r="F11" s="21"/>
      <c r="G11" s="21"/>
      <c r="H11" s="21"/>
      <c r="I11" s="21"/>
      <c r="J11" s="22"/>
    </row>
    <row r="12" spans="2:10">
      <c r="B12" s="14"/>
      <c r="C12" s="24" t="s">
        <v>5</v>
      </c>
      <c r="D12" s="25"/>
      <c r="E12" s="21"/>
      <c r="F12" s="21"/>
      <c r="G12" s="21"/>
      <c r="H12" s="21"/>
      <c r="I12" s="21"/>
      <c r="J12" s="22"/>
    </row>
    <row r="13" spans="2:10">
      <c r="B13" s="465" t="s">
        <v>6</v>
      </c>
      <c r="C13" s="466"/>
      <c r="D13" s="466"/>
      <c r="E13" s="466"/>
      <c r="F13" s="466"/>
      <c r="G13" s="466"/>
      <c r="H13" s="466"/>
      <c r="I13" s="467"/>
      <c r="J13" s="468"/>
    </row>
    <row r="14" spans="2:10">
      <c r="B14" s="104"/>
      <c r="C14" s="105"/>
      <c r="D14" s="105"/>
      <c r="E14" s="106"/>
      <c r="F14" s="106"/>
      <c r="G14" s="106"/>
      <c r="H14" s="106"/>
      <c r="I14" s="106"/>
      <c r="J14" s="107"/>
    </row>
    <row r="15" spans="2:10">
      <c r="B15" s="14"/>
      <c r="C15" s="26"/>
      <c r="D15" s="26"/>
      <c r="E15" s="21"/>
      <c r="F15" s="21"/>
      <c r="G15" s="21"/>
      <c r="H15" s="21"/>
      <c r="I15" s="21"/>
      <c r="J15" s="22"/>
    </row>
    <row r="16" spans="2:10">
      <c r="B16" s="14"/>
      <c r="C16" s="472" t="s">
        <v>7</v>
      </c>
      <c r="D16" s="473"/>
      <c r="E16" s="474" t="s">
        <v>8</v>
      </c>
      <c r="F16" s="475"/>
      <c r="G16" s="27"/>
      <c r="H16" s="21"/>
      <c r="I16" s="21"/>
      <c r="J16" s="22"/>
    </row>
    <row r="17" spans="2:10">
      <c r="B17" s="14"/>
      <c r="C17" s="28" t="s">
        <v>9</v>
      </c>
      <c r="D17" s="29"/>
      <c r="E17" s="476" t="s">
        <v>62</v>
      </c>
      <c r="F17" s="476"/>
      <c r="G17" s="30" t="s">
        <v>10</v>
      </c>
      <c r="H17" s="31"/>
      <c r="I17" s="31"/>
      <c r="J17" s="32"/>
    </row>
    <row r="18" spans="2:10">
      <c r="B18" s="14"/>
      <c r="C18" s="28" t="s">
        <v>11</v>
      </c>
      <c r="D18" s="33"/>
      <c r="E18" s="476" t="s">
        <v>12</v>
      </c>
      <c r="F18" s="476"/>
      <c r="G18" s="30" t="s">
        <v>10</v>
      </c>
      <c r="H18" s="31"/>
      <c r="I18" s="31"/>
      <c r="J18" s="32"/>
    </row>
    <row r="19" spans="2:10">
      <c r="B19" s="14"/>
      <c r="C19" s="28" t="s">
        <v>14</v>
      </c>
      <c r="D19" s="33"/>
      <c r="E19" s="477" t="s">
        <v>15</v>
      </c>
      <c r="F19" s="478"/>
      <c r="G19" s="30" t="s">
        <v>10</v>
      </c>
      <c r="H19" s="31"/>
      <c r="I19" s="31"/>
      <c r="J19" s="32"/>
    </row>
    <row r="20" spans="2:10">
      <c r="B20" s="14"/>
      <c r="C20" s="28" t="s">
        <v>16</v>
      </c>
      <c r="D20" s="33"/>
      <c r="E20" s="464">
        <f>IF(E19="ПСН (патент)","-",VLOOKUP(E19,внутр!H25:J26,3,0))</f>
        <v>0.06</v>
      </c>
      <c r="F20" s="464"/>
      <c r="G20" s="30"/>
      <c r="H20" s="31"/>
      <c r="I20" s="31"/>
      <c r="J20" s="34"/>
    </row>
    <row r="21" spans="2:10">
      <c r="B21" s="14"/>
      <c r="C21" s="35"/>
      <c r="D21" s="35"/>
      <c r="E21" s="36"/>
      <c r="F21" s="37"/>
      <c r="G21" s="37"/>
      <c r="H21" s="37"/>
      <c r="I21" s="37"/>
      <c r="J21" s="15"/>
    </row>
    <row r="22" spans="2:10">
      <c r="B22" s="465" t="s">
        <v>17</v>
      </c>
      <c r="C22" s="466"/>
      <c r="D22" s="466"/>
      <c r="E22" s="466"/>
      <c r="F22" s="466"/>
      <c r="G22" s="466"/>
      <c r="H22" s="466"/>
      <c r="I22" s="467"/>
      <c r="J22" s="468"/>
    </row>
    <row r="23" spans="2:10" ht="12.75" thickBot="1">
      <c r="B23" s="14"/>
      <c r="C23" s="35"/>
      <c r="D23" s="35"/>
      <c r="E23" s="36"/>
      <c r="F23" s="37"/>
      <c r="G23" s="37"/>
      <c r="H23" s="37"/>
      <c r="I23" s="37"/>
      <c r="J23" s="15"/>
    </row>
    <row r="24" spans="2:10">
      <c r="B24" s="14"/>
      <c r="C24" s="469" t="s">
        <v>18</v>
      </c>
      <c r="D24" s="469"/>
      <c r="E24" s="469"/>
      <c r="F24" s="469"/>
      <c r="G24" s="469"/>
      <c r="H24" s="469"/>
      <c r="I24" s="38"/>
      <c r="J24" s="15"/>
    </row>
    <row r="25" spans="2:10" ht="12.75" thickBot="1">
      <c r="B25" s="14"/>
      <c r="C25" s="470" t="s">
        <v>19</v>
      </c>
      <c r="D25" s="470"/>
      <c r="E25" s="470"/>
      <c r="F25" s="470"/>
      <c r="G25" s="470"/>
      <c r="H25" s="470"/>
      <c r="I25" s="38"/>
      <c r="J25" s="15"/>
    </row>
    <row r="26" spans="2:10">
      <c r="B26" s="14"/>
      <c r="C26" s="35"/>
      <c r="D26" s="35"/>
      <c r="E26" s="36"/>
      <c r="F26" s="37"/>
      <c r="G26" s="37"/>
      <c r="H26" s="37"/>
      <c r="I26" s="37"/>
      <c r="J26" s="15"/>
    </row>
    <row r="27" spans="2:10">
      <c r="B27" s="14"/>
      <c r="C27" s="471" t="s">
        <v>20</v>
      </c>
      <c r="D27" s="471"/>
      <c r="E27" s="471"/>
      <c r="F27" s="471"/>
      <c r="G27" s="485"/>
      <c r="H27" s="485"/>
      <c r="I27" s="39"/>
      <c r="J27" s="15"/>
    </row>
    <row r="28" spans="2:10" ht="12" customHeight="1">
      <c r="B28" s="14"/>
      <c r="C28" s="495" t="s">
        <v>21</v>
      </c>
      <c r="D28" s="496"/>
      <c r="E28" s="497" t="s">
        <v>22</v>
      </c>
      <c r="F28" s="498"/>
      <c r="G28" s="461" t="str">
        <f>VLOOKUP(Параметры!E28,кредит!D1:E2,2,0)</f>
        <v>Равные платежи в течение всего срока кредитования.
Увеличенная сумма начисляемых процентов.</v>
      </c>
      <c r="H28" s="462"/>
      <c r="I28" s="462"/>
      <c r="J28" s="463"/>
    </row>
    <row r="29" spans="2:10">
      <c r="B29" s="14"/>
      <c r="C29" s="495" t="s">
        <v>23</v>
      </c>
      <c r="D29" s="496"/>
      <c r="E29" s="40"/>
      <c r="F29" s="41">
        <v>500000</v>
      </c>
      <c r="G29" s="461"/>
      <c r="H29" s="462"/>
      <c r="I29" s="462"/>
      <c r="J29" s="463"/>
    </row>
    <row r="30" spans="2:10">
      <c r="B30" s="14"/>
      <c r="C30" s="495" t="s">
        <v>24</v>
      </c>
      <c r="D30" s="496"/>
      <c r="E30" s="42" t="s">
        <v>25</v>
      </c>
      <c r="F30" s="43">
        <v>0.12</v>
      </c>
      <c r="G30" s="461"/>
      <c r="H30" s="462"/>
      <c r="I30" s="462"/>
      <c r="J30" s="463"/>
    </row>
    <row r="31" spans="2:10">
      <c r="B31" s="14"/>
      <c r="C31" s="495" t="s">
        <v>26</v>
      </c>
      <c r="D31" s="499"/>
      <c r="E31" s="42" t="s">
        <v>27</v>
      </c>
      <c r="F31" s="44">
        <v>24</v>
      </c>
      <c r="G31" s="461"/>
      <c r="H31" s="462"/>
      <c r="I31" s="462"/>
      <c r="J31" s="463"/>
    </row>
    <row r="32" spans="2:10">
      <c r="B32" s="14"/>
      <c r="C32" s="35"/>
      <c r="D32" s="35"/>
      <c r="E32" s="36"/>
      <c r="F32" s="37"/>
      <c r="G32" s="37"/>
      <c r="H32" s="37"/>
      <c r="I32" s="37"/>
      <c r="J32" s="15"/>
    </row>
    <row r="33" spans="2:10">
      <c r="B33" s="14"/>
      <c r="C33" s="494" t="str">
        <f>IF(E18="ИП","Регистрация ИП","Регистрация ООО")</f>
        <v>Регистрация ИП</v>
      </c>
      <c r="D33" s="492"/>
      <c r="E33" s="492"/>
      <c r="F33" s="493"/>
      <c r="G33" s="45"/>
      <c r="H33" s="38"/>
      <c r="I33" s="38"/>
      <c r="J33" s="15"/>
    </row>
    <row r="34" spans="2:10">
      <c r="B34" s="14"/>
      <c r="C34" s="46" t="s">
        <v>28</v>
      </c>
      <c r="D34" s="47"/>
      <c r="E34" s="47"/>
      <c r="F34" s="41">
        <f>IF($E$18=внутр!$I$17,внутр!I18,внутр!J18)</f>
        <v>800</v>
      </c>
      <c r="G34" s="45"/>
      <c r="H34" s="38"/>
      <c r="I34" s="38"/>
      <c r="J34" s="15"/>
    </row>
    <row r="35" spans="2:10">
      <c r="B35" s="14"/>
      <c r="C35" s="46" t="s">
        <v>29</v>
      </c>
      <c r="D35" s="47"/>
      <c r="E35" s="47"/>
      <c r="F35" s="41">
        <f>IF($E$18=внутр!$I$17,внутр!I19,внутр!J19)</f>
        <v>900</v>
      </c>
      <c r="G35" s="45"/>
      <c r="H35" s="38"/>
      <c r="I35" s="38"/>
      <c r="J35" s="15"/>
    </row>
    <row r="36" spans="2:10">
      <c r="B36" s="14"/>
      <c r="C36" s="46" t="s">
        <v>30</v>
      </c>
      <c r="D36" s="47"/>
      <c r="E36" s="47"/>
      <c r="F36" s="41">
        <f>IF($E$18=внутр!$I$17,внутр!I20,внутр!J20)</f>
        <v>0</v>
      </c>
      <c r="G36" s="45"/>
      <c r="H36" s="38"/>
      <c r="I36" s="38"/>
      <c r="J36" s="15"/>
    </row>
    <row r="37" spans="2:10">
      <c r="B37" s="14"/>
      <c r="C37" s="103" t="s">
        <v>31</v>
      </c>
      <c r="D37" s="47"/>
      <c r="E37" s="47"/>
      <c r="F37" s="102">
        <f>IF($E$18=внутр!$I$17,внутр!I21,внутр!J21)</f>
        <v>0</v>
      </c>
      <c r="G37" s="45"/>
      <c r="H37" s="38"/>
      <c r="I37" s="38"/>
      <c r="J37" s="15"/>
    </row>
    <row r="38" spans="2:10">
      <c r="B38" s="14"/>
      <c r="C38" s="46" t="s">
        <v>32</v>
      </c>
      <c r="D38" s="47"/>
      <c r="E38" s="47"/>
      <c r="F38" s="41">
        <f>IF($E$18=внутр!$I$17,внутр!I22,внутр!J22)</f>
        <v>0</v>
      </c>
      <c r="G38" s="45"/>
      <c r="H38" s="38"/>
      <c r="I38" s="38"/>
      <c r="J38" s="15"/>
    </row>
    <row r="39" spans="2:10">
      <c r="B39" s="14"/>
      <c r="C39" s="494" t="s">
        <v>33</v>
      </c>
      <c r="D39" s="492"/>
      <c r="E39" s="492"/>
      <c r="F39" s="493"/>
      <c r="G39" s="48"/>
      <c r="H39" s="38"/>
      <c r="I39" s="38"/>
      <c r="J39" s="49"/>
    </row>
    <row r="40" spans="2:10">
      <c r="B40" s="14"/>
      <c r="C40" s="108" t="s">
        <v>90</v>
      </c>
      <c r="D40" s="63"/>
      <c r="E40" s="53"/>
      <c r="F40" s="54">
        <v>5000</v>
      </c>
      <c r="G40" s="39"/>
      <c r="H40" s="39"/>
      <c r="I40" s="39"/>
      <c r="J40" s="55"/>
    </row>
    <row r="41" spans="2:10">
      <c r="B41" s="14"/>
      <c r="C41" s="491" t="s">
        <v>91</v>
      </c>
      <c r="D41" s="492"/>
      <c r="E41" s="492"/>
      <c r="F41" s="493"/>
      <c r="G41" s="39"/>
      <c r="H41" s="39"/>
      <c r="I41" s="39"/>
      <c r="J41" s="55"/>
    </row>
    <row r="42" spans="2:10">
      <c r="B42" s="14"/>
      <c r="C42" s="50" t="s">
        <v>34</v>
      </c>
      <c r="D42" s="51"/>
      <c r="E42" s="52"/>
      <c r="F42" s="41">
        <v>30000</v>
      </c>
      <c r="G42" s="39"/>
      <c r="H42" s="39"/>
      <c r="I42" s="39"/>
      <c r="J42" s="55"/>
    </row>
    <row r="43" spans="2:10">
      <c r="B43" s="14"/>
      <c r="C43" s="491" t="s">
        <v>35</v>
      </c>
      <c r="D43" s="492"/>
      <c r="E43" s="492"/>
      <c r="F43" s="493"/>
      <c r="G43" s="39"/>
      <c r="H43" s="39"/>
      <c r="I43" s="39"/>
      <c r="J43" s="55"/>
    </row>
    <row r="44" spans="2:10">
      <c r="B44" s="14"/>
      <c r="C44" s="46" t="s">
        <v>36</v>
      </c>
      <c r="D44" s="51"/>
      <c r="E44" s="56"/>
      <c r="F44" s="41">
        <v>15000</v>
      </c>
      <c r="G44" s="39"/>
      <c r="H44" s="39"/>
      <c r="I44" s="39"/>
      <c r="J44" s="55"/>
    </row>
    <row r="45" spans="2:10">
      <c r="B45" s="14"/>
      <c r="C45" s="46" t="s">
        <v>37</v>
      </c>
      <c r="D45" s="51"/>
      <c r="E45" s="56"/>
      <c r="F45" s="41">
        <v>6000</v>
      </c>
      <c r="G45" s="39"/>
      <c r="H45" s="39"/>
      <c r="I45" s="39"/>
      <c r="J45" s="55"/>
    </row>
    <row r="46" spans="2:10">
      <c r="B46" s="14"/>
      <c r="C46" s="57" t="s">
        <v>38</v>
      </c>
      <c r="D46" s="51"/>
      <c r="E46" s="56"/>
      <c r="F46" s="41">
        <v>0</v>
      </c>
      <c r="G46" s="39"/>
      <c r="H46" s="39"/>
      <c r="I46" s="39"/>
      <c r="J46" s="55"/>
    </row>
    <row r="47" spans="2:10">
      <c r="B47" s="14"/>
      <c r="C47" s="35"/>
      <c r="D47" s="35"/>
      <c r="E47" s="36"/>
      <c r="F47" s="37"/>
      <c r="G47" s="37"/>
      <c r="H47" s="37"/>
      <c r="I47" s="37"/>
      <c r="J47" s="15"/>
    </row>
    <row r="48" spans="2:10">
      <c r="B48" s="465" t="s">
        <v>39</v>
      </c>
      <c r="C48" s="466"/>
      <c r="D48" s="466"/>
      <c r="E48" s="466"/>
      <c r="F48" s="466"/>
      <c r="G48" s="466"/>
      <c r="H48" s="466"/>
      <c r="I48" s="467"/>
      <c r="J48" s="468"/>
    </row>
    <row r="49" spans="2:10" ht="12.75" thickBot="1">
      <c r="B49" s="14"/>
      <c r="C49" s="35"/>
      <c r="D49" s="35"/>
      <c r="E49" s="36"/>
      <c r="F49" s="37"/>
      <c r="G49" s="37"/>
      <c r="H49" s="37"/>
      <c r="I49" s="37"/>
      <c r="J49" s="15"/>
    </row>
    <row r="50" spans="2:10">
      <c r="B50" s="14"/>
      <c r="C50" s="469" t="s">
        <v>40</v>
      </c>
      <c r="D50" s="469"/>
      <c r="E50" s="469"/>
      <c r="F50" s="469"/>
      <c r="G50" s="469"/>
      <c r="H50" s="469"/>
      <c r="I50" s="38"/>
      <c r="J50" s="15"/>
    </row>
    <row r="51" spans="2:10" ht="12.75" thickBot="1">
      <c r="B51" s="14"/>
      <c r="C51" s="470" t="s">
        <v>41</v>
      </c>
      <c r="D51" s="470"/>
      <c r="E51" s="470"/>
      <c r="F51" s="470"/>
      <c r="G51" s="470"/>
      <c r="H51" s="470"/>
      <c r="I51" s="38"/>
      <c r="J51" s="15"/>
    </row>
    <row r="52" spans="2:10">
      <c r="B52" s="14"/>
      <c r="C52" s="35"/>
      <c r="D52" s="35"/>
      <c r="E52" s="36"/>
      <c r="F52" s="37"/>
      <c r="G52" s="37"/>
      <c r="H52" s="37"/>
      <c r="I52" s="37"/>
      <c r="J52" s="15"/>
    </row>
    <row r="53" spans="2:10">
      <c r="B53" s="16"/>
      <c r="C53" s="62" t="s">
        <v>46</v>
      </c>
      <c r="D53" s="63"/>
      <c r="E53" s="64" t="s">
        <v>42</v>
      </c>
      <c r="F53" s="65" t="s">
        <v>43</v>
      </c>
      <c r="G53" s="65" t="s">
        <v>44</v>
      </c>
      <c r="H53" s="45"/>
      <c r="I53" s="45"/>
      <c r="J53" s="58"/>
    </row>
    <row r="54" spans="2:10">
      <c r="B54" s="16"/>
      <c r="C54" s="66" t="s">
        <v>92</v>
      </c>
      <c r="D54" s="67"/>
      <c r="E54" s="68">
        <v>2</v>
      </c>
      <c r="F54" s="69">
        <v>12000</v>
      </c>
      <c r="G54" s="59">
        <v>1.4999999999999999E-2</v>
      </c>
      <c r="H54" s="45"/>
      <c r="I54" s="45"/>
      <c r="J54" s="58"/>
    </row>
    <row r="55" spans="2:10">
      <c r="B55" s="16"/>
      <c r="C55" s="62" t="s">
        <v>45</v>
      </c>
      <c r="D55" s="63"/>
      <c r="E55" s="70"/>
      <c r="F55" s="60">
        <v>0.3</v>
      </c>
      <c r="G55" s="72" t="s">
        <v>47</v>
      </c>
      <c r="H55" s="45"/>
      <c r="I55" s="45"/>
      <c r="J55" s="58"/>
    </row>
    <row r="56" spans="2:10">
      <c r="B56" s="16"/>
      <c r="C56" s="486" t="s">
        <v>35</v>
      </c>
      <c r="D56" s="487"/>
      <c r="E56" s="487"/>
      <c r="F56" s="487"/>
      <c r="G56" s="488"/>
      <c r="H56" s="45"/>
      <c r="I56" s="45"/>
      <c r="J56" s="58"/>
    </row>
    <row r="57" spans="2:10">
      <c r="B57" s="16"/>
      <c r="C57" s="489" t="s">
        <v>48</v>
      </c>
      <c r="D57" s="490"/>
      <c r="E57" s="490"/>
      <c r="F57" s="490"/>
      <c r="G57" s="69">
        <v>200</v>
      </c>
      <c r="H57" s="45"/>
      <c r="I57" s="45"/>
      <c r="J57" s="58"/>
    </row>
    <row r="58" spans="2:10">
      <c r="B58" s="16"/>
      <c r="C58" s="73" t="s">
        <v>49</v>
      </c>
      <c r="D58" s="74"/>
      <c r="E58" s="74"/>
      <c r="F58" s="74"/>
      <c r="G58" s="69">
        <v>0</v>
      </c>
      <c r="H58" s="45"/>
      <c r="I58" s="45"/>
      <c r="J58" s="58"/>
    </row>
    <row r="59" spans="2:10">
      <c r="B59" s="16"/>
      <c r="C59" s="73" t="s">
        <v>50</v>
      </c>
      <c r="D59" s="74"/>
      <c r="E59" s="74"/>
      <c r="F59" s="74"/>
      <c r="G59" s="69">
        <v>500</v>
      </c>
      <c r="H59" s="45"/>
      <c r="I59" s="45"/>
      <c r="J59" s="58"/>
    </row>
    <row r="60" spans="2:10">
      <c r="B60" s="16"/>
      <c r="C60" s="489" t="s">
        <v>51</v>
      </c>
      <c r="D60" s="490"/>
      <c r="E60" s="490"/>
      <c r="F60" s="490"/>
      <c r="G60" s="69">
        <v>1000</v>
      </c>
      <c r="H60" s="45"/>
      <c r="I60" s="45"/>
      <c r="J60" s="58"/>
    </row>
    <row r="61" spans="2:10">
      <c r="B61" s="16"/>
      <c r="C61" s="71" t="s">
        <v>52</v>
      </c>
      <c r="D61" s="76"/>
      <c r="E61" s="76"/>
      <c r="F61" s="77"/>
      <c r="G61" s="69">
        <v>490</v>
      </c>
      <c r="H61" s="45"/>
      <c r="I61" s="45"/>
      <c r="J61" s="58"/>
    </row>
    <row r="62" spans="2:10">
      <c r="B62" s="16"/>
      <c r="C62" s="500" t="s">
        <v>53</v>
      </c>
      <c r="D62" s="75"/>
      <c r="E62" s="502" t="s">
        <v>54</v>
      </c>
      <c r="F62" s="503" t="s">
        <v>54</v>
      </c>
      <c r="G62" s="59">
        <v>0.05</v>
      </c>
      <c r="H62" s="45"/>
      <c r="I62" s="45"/>
      <c r="J62" s="58"/>
    </row>
    <row r="63" spans="2:10">
      <c r="B63" s="16"/>
      <c r="C63" s="501"/>
      <c r="D63" s="67"/>
      <c r="E63" s="504" t="s">
        <v>55</v>
      </c>
      <c r="F63" s="505" t="s">
        <v>55</v>
      </c>
      <c r="G63" s="69">
        <v>10000</v>
      </c>
      <c r="H63" s="45"/>
      <c r="I63" s="45"/>
      <c r="J63" s="58"/>
    </row>
    <row r="64" spans="2:10">
      <c r="B64" s="16"/>
      <c r="C64" s="506" t="s">
        <v>56</v>
      </c>
      <c r="D64" s="507"/>
      <c r="E64" s="507"/>
      <c r="F64" s="507"/>
      <c r="G64" s="508"/>
      <c r="H64" s="45"/>
      <c r="I64" s="45"/>
      <c r="J64" s="58"/>
    </row>
    <row r="65" spans="2:10">
      <c r="B65" s="16"/>
      <c r="C65" s="509" t="s">
        <v>57</v>
      </c>
      <c r="D65" s="510"/>
      <c r="E65" s="510"/>
      <c r="F65" s="510"/>
      <c r="G65" s="69">
        <v>0</v>
      </c>
      <c r="H65" s="45"/>
      <c r="I65" s="45"/>
      <c r="J65" s="58"/>
    </row>
    <row r="66" spans="2:10">
      <c r="B66" s="16"/>
      <c r="C66" s="322"/>
      <c r="D66" s="322"/>
      <c r="E66" s="322"/>
      <c r="F66" s="322"/>
      <c r="G66" s="323"/>
      <c r="H66" s="45"/>
      <c r="I66" s="45"/>
      <c r="J66" s="58"/>
    </row>
    <row r="67" spans="2:10">
      <c r="B67" s="16"/>
      <c r="C67" s="322"/>
      <c r="D67" s="322"/>
      <c r="E67" s="322"/>
      <c r="F67" s="322"/>
      <c r="G67" s="323"/>
      <c r="H67" s="45"/>
      <c r="I67" s="45"/>
      <c r="J67" s="58"/>
    </row>
    <row r="68" spans="2:10" ht="18.75">
      <c r="B68" s="448" t="s">
        <v>116</v>
      </c>
      <c r="C68" s="449"/>
      <c r="D68" s="449"/>
      <c r="E68" s="449"/>
      <c r="F68" s="449"/>
      <c r="G68" s="449"/>
      <c r="H68" s="449"/>
      <c r="I68" s="450"/>
      <c r="J68" s="451"/>
    </row>
    <row r="69" spans="2:10">
      <c r="B69" s="16"/>
      <c r="C69" s="322"/>
      <c r="D69" s="322"/>
      <c r="E69" s="322"/>
      <c r="F69" s="322"/>
      <c r="G69" s="323"/>
      <c r="H69" s="45"/>
      <c r="I69" s="45"/>
      <c r="J69" s="58"/>
    </row>
    <row r="70" spans="2:10">
      <c r="B70" s="16"/>
      <c r="C70" s="458" t="s">
        <v>223</v>
      </c>
      <c r="D70" s="458"/>
      <c r="E70" s="458"/>
      <c r="F70" s="458"/>
      <c r="G70" s="458"/>
      <c r="H70" s="325"/>
      <c r="I70" s="325"/>
      <c r="J70" s="58"/>
    </row>
    <row r="71" spans="2:10">
      <c r="B71" s="16"/>
      <c r="C71" s="324" t="s">
        <v>255</v>
      </c>
      <c r="D71" s="452" t="s">
        <v>225</v>
      </c>
      <c r="E71" s="452"/>
      <c r="F71" s="452" t="s">
        <v>120</v>
      </c>
      <c r="G71" s="452"/>
      <c r="H71" s="326"/>
      <c r="I71" s="326"/>
      <c r="J71" s="58"/>
    </row>
    <row r="72" spans="2:10">
      <c r="B72" s="16"/>
      <c r="C72" s="329" t="s">
        <v>254</v>
      </c>
      <c r="D72" s="453">
        <v>1</v>
      </c>
      <c r="E72" s="454"/>
      <c r="F72" s="459">
        <v>882</v>
      </c>
      <c r="G72" s="460"/>
      <c r="H72" s="327"/>
      <c r="I72" s="328"/>
      <c r="J72" s="58"/>
    </row>
    <row r="73" spans="2:10">
      <c r="B73" s="16"/>
      <c r="C73" s="330" t="s">
        <v>152</v>
      </c>
      <c r="D73" s="453">
        <v>1</v>
      </c>
      <c r="E73" s="454"/>
      <c r="F73" s="459">
        <v>800</v>
      </c>
      <c r="G73" s="460"/>
      <c r="H73" s="327"/>
      <c r="I73" s="328"/>
      <c r="J73" s="58"/>
    </row>
    <row r="74" spans="2:10">
      <c r="B74" s="16"/>
      <c r="C74" s="330" t="s">
        <v>198</v>
      </c>
      <c r="D74" s="453">
        <v>1</v>
      </c>
      <c r="E74" s="454"/>
      <c r="F74" s="459">
        <v>4000</v>
      </c>
      <c r="G74" s="460"/>
      <c r="H74" s="327"/>
      <c r="I74" s="328"/>
      <c r="J74" s="58"/>
    </row>
    <row r="75" spans="2:10">
      <c r="B75" s="16"/>
      <c r="C75" s="330" t="s">
        <v>207</v>
      </c>
      <c r="D75" s="453">
        <v>1</v>
      </c>
      <c r="E75" s="454"/>
      <c r="F75" s="459">
        <v>5000</v>
      </c>
      <c r="G75" s="460"/>
      <c r="H75" s="327"/>
      <c r="I75" s="328"/>
      <c r="J75" s="58"/>
    </row>
    <row r="76" spans="2:10">
      <c r="B76" s="16"/>
      <c r="C76" s="331" t="s">
        <v>209</v>
      </c>
      <c r="D76" s="453">
        <v>1</v>
      </c>
      <c r="E76" s="454"/>
      <c r="F76" s="459">
        <v>400</v>
      </c>
      <c r="G76" s="460"/>
      <c r="H76" s="327"/>
      <c r="I76" s="328"/>
      <c r="J76" s="58"/>
    </row>
    <row r="77" spans="2:10">
      <c r="B77" s="16"/>
      <c r="C77" s="322"/>
      <c r="D77" s="322"/>
      <c r="E77" s="322"/>
      <c r="F77" s="322"/>
      <c r="G77" s="323"/>
      <c r="H77" s="45"/>
      <c r="I77" s="45"/>
      <c r="J77" s="58"/>
    </row>
    <row r="78" spans="2:10">
      <c r="B78" s="166"/>
      <c r="C78" s="167"/>
      <c r="D78" s="167"/>
      <c r="E78" s="167"/>
      <c r="F78" s="167"/>
      <c r="G78" s="167"/>
      <c r="H78" s="167"/>
      <c r="I78" s="167"/>
      <c r="J78" s="168"/>
    </row>
    <row r="79" spans="2:10" ht="12.75" thickBot="1">
      <c r="B79" s="169"/>
      <c r="C79" s="170"/>
      <c r="D79" s="170"/>
      <c r="E79" s="170"/>
      <c r="F79" s="170"/>
      <c r="G79" s="170"/>
      <c r="H79" s="170"/>
      <c r="I79" s="170"/>
      <c r="J79" s="171"/>
    </row>
    <row r="80" spans="2:10" ht="18.75" hidden="1">
      <c r="B80" s="2"/>
      <c r="C80" s="455" t="s">
        <v>223</v>
      </c>
      <c r="D80" s="455"/>
      <c r="E80" s="455"/>
      <c r="F80" s="455"/>
      <c r="G80" s="455"/>
      <c r="H80" s="455"/>
      <c r="I80" s="455"/>
      <c r="J80" s="285"/>
    </row>
    <row r="81" spans="2:10" ht="18.75" hidden="1">
      <c r="B81" s="2"/>
      <c r="C81" s="286" t="s">
        <v>66</v>
      </c>
      <c r="D81" s="456" t="s">
        <v>67</v>
      </c>
      <c r="E81" s="457"/>
      <c r="F81" s="456" t="s">
        <v>68</v>
      </c>
      <c r="G81" s="457"/>
      <c r="H81" s="456" t="s">
        <v>69</v>
      </c>
      <c r="I81" s="457"/>
      <c r="J81" s="285"/>
    </row>
    <row r="82" spans="2:10" ht="18.75" hidden="1">
      <c r="B82" s="2"/>
      <c r="C82" s="286" t="s">
        <v>224</v>
      </c>
      <c r="D82" s="287" t="s">
        <v>225</v>
      </c>
      <c r="E82" s="287" t="s">
        <v>120</v>
      </c>
      <c r="F82" s="287" t="s">
        <v>225</v>
      </c>
      <c r="G82" s="287" t="s">
        <v>120</v>
      </c>
      <c r="H82" s="288" t="s">
        <v>225</v>
      </c>
      <c r="I82" s="288" t="s">
        <v>120</v>
      </c>
      <c r="J82" s="285"/>
    </row>
    <row r="83" spans="2:10" ht="18.75" hidden="1">
      <c r="B83" s="2"/>
      <c r="C83" s="289" t="s">
        <v>226</v>
      </c>
      <c r="D83" s="290">
        <v>0.35</v>
      </c>
      <c r="E83" s="291">
        <v>3500</v>
      </c>
      <c r="F83" s="292">
        <v>0.26</v>
      </c>
      <c r="G83" s="291">
        <v>5040</v>
      </c>
      <c r="H83" s="293">
        <v>0</v>
      </c>
      <c r="I83" s="294">
        <v>0</v>
      </c>
      <c r="J83" s="285"/>
    </row>
    <row r="84" spans="2:10" ht="18.75" hidden="1">
      <c r="B84" s="2"/>
      <c r="C84" s="289" t="s">
        <v>227</v>
      </c>
      <c r="D84" s="290">
        <v>0.05</v>
      </c>
      <c r="E84" s="291">
        <v>1800</v>
      </c>
      <c r="F84" s="292">
        <v>0</v>
      </c>
      <c r="G84" s="291">
        <v>0</v>
      </c>
      <c r="H84" s="293">
        <v>0</v>
      </c>
      <c r="I84" s="294">
        <v>0</v>
      </c>
      <c r="J84" s="285"/>
    </row>
    <row r="85" spans="2:10" ht="18.75" hidden="1">
      <c r="B85" s="2"/>
      <c r="C85" s="289" t="s">
        <v>228</v>
      </c>
      <c r="D85" s="290">
        <v>0.05</v>
      </c>
      <c r="E85" s="291">
        <v>1800</v>
      </c>
      <c r="F85" s="292">
        <v>0.04</v>
      </c>
      <c r="G85" s="291">
        <v>3780</v>
      </c>
      <c r="H85" s="293">
        <v>0</v>
      </c>
      <c r="I85" s="294">
        <v>0</v>
      </c>
      <c r="J85" s="285"/>
    </row>
    <row r="86" spans="2:10" ht="18.75" hidden="1">
      <c r="B86" s="2"/>
      <c r="C86" s="289" t="s">
        <v>229</v>
      </c>
      <c r="D86" s="290">
        <v>0.08</v>
      </c>
      <c r="E86" s="291">
        <v>1800</v>
      </c>
      <c r="F86" s="292">
        <v>0</v>
      </c>
      <c r="G86" s="291">
        <v>0</v>
      </c>
      <c r="H86" s="293">
        <v>0</v>
      </c>
      <c r="I86" s="294">
        <v>0</v>
      </c>
      <c r="J86" s="285"/>
    </row>
    <row r="87" spans="2:10" ht="18.75" hidden="1">
      <c r="B87" s="2"/>
      <c r="C87" s="289" t="s">
        <v>230</v>
      </c>
      <c r="D87" s="290">
        <v>0.12</v>
      </c>
      <c r="E87" s="291">
        <v>3200</v>
      </c>
      <c r="F87" s="292">
        <v>0</v>
      </c>
      <c r="G87" s="291">
        <v>0</v>
      </c>
      <c r="H87" s="293">
        <v>0</v>
      </c>
      <c r="I87" s="294">
        <v>0</v>
      </c>
      <c r="J87" s="285"/>
    </row>
    <row r="88" spans="2:10" ht="18.75" hidden="1">
      <c r="B88" s="2"/>
      <c r="C88" s="289" t="s">
        <v>231</v>
      </c>
      <c r="D88" s="290">
        <v>0.08</v>
      </c>
      <c r="E88" s="291">
        <v>3200</v>
      </c>
      <c r="F88" s="292">
        <v>0</v>
      </c>
      <c r="G88" s="291">
        <v>0</v>
      </c>
      <c r="H88" s="293">
        <v>0</v>
      </c>
      <c r="I88" s="294">
        <v>0</v>
      </c>
      <c r="J88" s="285"/>
    </row>
    <row r="89" spans="2:10" ht="18.75" hidden="1">
      <c r="B89" s="2"/>
      <c r="C89" s="289" t="s">
        <v>232</v>
      </c>
      <c r="D89" s="290">
        <v>0.01</v>
      </c>
      <c r="E89" s="291">
        <v>3200</v>
      </c>
      <c r="F89" s="292">
        <v>0</v>
      </c>
      <c r="G89" s="291">
        <v>0</v>
      </c>
      <c r="H89" s="293">
        <v>0</v>
      </c>
      <c r="I89" s="294">
        <v>0</v>
      </c>
      <c r="J89" s="285"/>
    </row>
    <row r="90" spans="2:10" ht="18.75" hidden="1">
      <c r="B90" s="2"/>
      <c r="C90" s="289" t="s">
        <v>233</v>
      </c>
      <c r="D90" s="290">
        <v>0.1</v>
      </c>
      <c r="E90" s="291">
        <v>3200</v>
      </c>
      <c r="F90" s="292">
        <v>0.2</v>
      </c>
      <c r="G90" s="291">
        <v>5040</v>
      </c>
      <c r="H90" s="293">
        <v>0</v>
      </c>
      <c r="I90" s="294">
        <v>0</v>
      </c>
      <c r="J90" s="285"/>
    </row>
    <row r="91" spans="2:10" ht="18.75" hidden="1">
      <c r="B91" s="2"/>
      <c r="C91" s="289" t="s">
        <v>234</v>
      </c>
      <c r="D91" s="290">
        <v>0.1</v>
      </c>
      <c r="E91" s="291">
        <v>3200</v>
      </c>
      <c r="F91" s="292">
        <v>0.26</v>
      </c>
      <c r="G91" s="291">
        <v>5040</v>
      </c>
      <c r="H91" s="293">
        <v>0</v>
      </c>
      <c r="I91" s="294">
        <v>0</v>
      </c>
      <c r="J91" s="285"/>
    </row>
    <row r="92" spans="2:10" ht="18.75" hidden="1">
      <c r="B92" s="2"/>
      <c r="C92" s="289" t="s">
        <v>235</v>
      </c>
      <c r="D92" s="290">
        <v>0</v>
      </c>
      <c r="E92" s="291">
        <v>0</v>
      </c>
      <c r="F92" s="292">
        <v>0.15</v>
      </c>
      <c r="G92" s="291">
        <v>5040</v>
      </c>
      <c r="H92" s="293">
        <v>0</v>
      </c>
      <c r="I92" s="294">
        <v>0</v>
      </c>
      <c r="J92" s="285"/>
    </row>
    <row r="93" spans="2:10" ht="18.75" hidden="1">
      <c r="B93" s="2"/>
      <c r="C93" s="289" t="s">
        <v>236</v>
      </c>
      <c r="D93" s="295">
        <v>0</v>
      </c>
      <c r="E93" s="296">
        <v>0</v>
      </c>
      <c r="F93" s="297">
        <v>0.09</v>
      </c>
      <c r="G93" s="296">
        <v>4320</v>
      </c>
      <c r="H93" s="293">
        <v>0</v>
      </c>
      <c r="I93" s="294">
        <v>0</v>
      </c>
      <c r="J93" s="285"/>
    </row>
    <row r="94" spans="2:10" ht="18.75" hidden="1">
      <c r="B94" s="2"/>
      <c r="C94" s="298" t="s">
        <v>237</v>
      </c>
      <c r="D94" s="293">
        <v>0</v>
      </c>
      <c r="E94" s="294">
        <v>0</v>
      </c>
      <c r="F94" s="293">
        <v>0</v>
      </c>
      <c r="G94" s="294">
        <v>0</v>
      </c>
      <c r="H94" s="299">
        <v>1</v>
      </c>
      <c r="I94" s="300">
        <v>15000</v>
      </c>
      <c r="J94" s="285"/>
    </row>
    <row r="95" spans="2:10" ht="18.75" hidden="1">
      <c r="B95" s="2"/>
      <c r="C95" s="286" t="s">
        <v>238</v>
      </c>
      <c r="D95" s="301" t="s">
        <v>225</v>
      </c>
      <c r="E95" s="301" t="s">
        <v>120</v>
      </c>
      <c r="F95" s="301" t="s">
        <v>225</v>
      </c>
      <c r="G95" s="301" t="s">
        <v>120</v>
      </c>
      <c r="H95" s="287" t="s">
        <v>225</v>
      </c>
      <c r="I95" s="287" t="s">
        <v>120</v>
      </c>
      <c r="J95" s="285"/>
    </row>
    <row r="96" spans="2:10" ht="18.75" hidden="1">
      <c r="B96" s="2"/>
      <c r="C96" s="289" t="s">
        <v>239</v>
      </c>
      <c r="D96" s="290">
        <v>0.01</v>
      </c>
      <c r="E96" s="291">
        <v>3200</v>
      </c>
      <c r="F96" s="292">
        <v>0</v>
      </c>
      <c r="G96" s="302">
        <v>0</v>
      </c>
      <c r="H96" s="303">
        <v>0</v>
      </c>
      <c r="I96" s="304">
        <v>0</v>
      </c>
      <c r="J96" s="285"/>
    </row>
    <row r="97" spans="2:10" ht="18.75" hidden="1">
      <c r="B97" s="2"/>
      <c r="C97" s="289" t="s">
        <v>240</v>
      </c>
      <c r="D97" s="290">
        <v>0.01</v>
      </c>
      <c r="E97" s="291">
        <v>3200</v>
      </c>
      <c r="F97" s="292">
        <v>0</v>
      </c>
      <c r="G97" s="302">
        <v>0</v>
      </c>
      <c r="H97" s="303">
        <v>0</v>
      </c>
      <c r="I97" s="304">
        <v>0</v>
      </c>
      <c r="J97" s="285"/>
    </row>
    <row r="98" spans="2:10" ht="18.75" hidden="1">
      <c r="B98" s="2"/>
      <c r="C98" s="289" t="s">
        <v>241</v>
      </c>
      <c r="D98" s="290">
        <v>0.02</v>
      </c>
      <c r="E98" s="291">
        <v>3200</v>
      </c>
      <c r="F98" s="292">
        <v>0</v>
      </c>
      <c r="G98" s="302">
        <v>0</v>
      </c>
      <c r="H98" s="303">
        <v>0</v>
      </c>
      <c r="I98" s="304">
        <v>0</v>
      </c>
      <c r="J98" s="285"/>
    </row>
    <row r="99" spans="2:10" ht="18.75" hidden="1">
      <c r="B99" s="2"/>
      <c r="C99" s="289" t="s">
        <v>242</v>
      </c>
      <c r="D99" s="290">
        <v>0.01</v>
      </c>
      <c r="E99" s="291">
        <v>3200</v>
      </c>
      <c r="F99" s="292">
        <v>0</v>
      </c>
      <c r="G99" s="302">
        <v>0</v>
      </c>
      <c r="H99" s="303">
        <v>0</v>
      </c>
      <c r="I99" s="304">
        <v>0</v>
      </c>
      <c r="J99" s="285"/>
    </row>
    <row r="100" spans="2:10" ht="18.75" hidden="1">
      <c r="B100" s="2"/>
      <c r="C100" s="289" t="s">
        <v>243</v>
      </c>
      <c r="D100" s="290">
        <v>0.01</v>
      </c>
      <c r="E100" s="291">
        <v>3200</v>
      </c>
      <c r="F100" s="292">
        <v>0</v>
      </c>
      <c r="G100" s="302">
        <v>0</v>
      </c>
      <c r="H100" s="305">
        <v>0</v>
      </c>
      <c r="I100" s="306">
        <v>0</v>
      </c>
      <c r="J100" s="285"/>
    </row>
    <row r="101" spans="2:10" ht="18.75" hidden="1">
      <c r="B101" s="2"/>
      <c r="C101" s="286" t="s">
        <v>244</v>
      </c>
      <c r="D101" s="307">
        <f>SUM(D83:D100)</f>
        <v>0.99999999999999989</v>
      </c>
      <c r="E101" s="308">
        <f>SUMPRODUCT(D83:D100,E83:E100)</f>
        <v>3053</v>
      </c>
      <c r="F101" s="307">
        <f>SUM(F83:F100)</f>
        <v>1</v>
      </c>
      <c r="G101" s="308">
        <f>SUMPRODUCT(F83:F100,G83:G100)</f>
        <v>4924.8</v>
      </c>
      <c r="H101" s="307">
        <f>SUM(H83:H100)</f>
        <v>1</v>
      </c>
      <c r="I101" s="309">
        <f>SUMPRODUCT(H83:H100,I83:I100)</f>
        <v>15000</v>
      </c>
      <c r="J101" s="285"/>
    </row>
    <row r="102" spans="2:10" ht="18.75" hidden="1">
      <c r="B102" s="2"/>
      <c r="C102" s="310"/>
      <c r="D102" s="310"/>
      <c r="E102" s="310"/>
      <c r="F102" s="310"/>
      <c r="G102" s="130"/>
      <c r="H102" s="4"/>
      <c r="I102" s="4"/>
      <c r="J102" s="285"/>
    </row>
    <row r="103" spans="2:10" ht="63" hidden="1">
      <c r="B103" s="2"/>
      <c r="C103" s="311" t="s">
        <v>245</v>
      </c>
      <c r="D103" s="312" t="s">
        <v>67</v>
      </c>
      <c r="E103" s="312" t="s">
        <v>68</v>
      </c>
      <c r="F103" s="312" t="s">
        <v>69</v>
      </c>
      <c r="G103" s="130"/>
      <c r="H103" s="4"/>
      <c r="I103" s="4"/>
      <c r="J103" s="285"/>
    </row>
    <row r="104" spans="2:10" ht="18.75" hidden="1">
      <c r="B104" s="2"/>
      <c r="C104" s="298" t="s">
        <v>121</v>
      </c>
      <c r="D104" s="313">
        <v>200</v>
      </c>
      <c r="E104" s="313">
        <v>95</v>
      </c>
      <c r="F104" s="313">
        <v>45.1875</v>
      </c>
      <c r="G104" s="130"/>
      <c r="H104" s="4"/>
      <c r="I104" s="4"/>
      <c r="J104" s="285"/>
    </row>
    <row r="105" spans="2:10" ht="18.75" hidden="1">
      <c r="B105" s="2"/>
      <c r="C105" s="298" t="s">
        <v>122</v>
      </c>
      <c r="D105" s="313">
        <v>70</v>
      </c>
      <c r="E105" s="313">
        <v>55.403999999999996</v>
      </c>
      <c r="F105" s="313">
        <v>20</v>
      </c>
      <c r="G105" s="130"/>
      <c r="H105" s="4"/>
      <c r="I105" s="4"/>
      <c r="J105" s="285"/>
    </row>
    <row r="106" spans="2:10" ht="18.75" hidden="1">
      <c r="B106" s="2"/>
      <c r="C106" s="298" t="s">
        <v>246</v>
      </c>
      <c r="D106" s="313">
        <v>260</v>
      </c>
      <c r="E106" s="313">
        <v>90</v>
      </c>
      <c r="F106" s="313">
        <v>40</v>
      </c>
      <c r="G106" s="130"/>
      <c r="H106" s="4"/>
      <c r="I106" s="4"/>
      <c r="J106" s="285"/>
    </row>
    <row r="107" spans="2:10" ht="18.75" hidden="1">
      <c r="B107" s="2"/>
      <c r="C107" s="298" t="s">
        <v>123</v>
      </c>
      <c r="D107" s="313">
        <v>10</v>
      </c>
      <c r="E107" s="313">
        <v>0</v>
      </c>
      <c r="F107" s="313">
        <v>0</v>
      </c>
      <c r="G107" s="130"/>
      <c r="H107" s="4"/>
      <c r="I107" s="4"/>
      <c r="J107" s="285"/>
    </row>
    <row r="108" spans="2:10" ht="18.75" hidden="1">
      <c r="B108" s="2"/>
      <c r="C108" s="298" t="s">
        <v>124</v>
      </c>
      <c r="D108" s="313">
        <v>0</v>
      </c>
      <c r="E108" s="313">
        <v>35</v>
      </c>
      <c r="F108" s="313">
        <v>20</v>
      </c>
      <c r="G108" s="130"/>
      <c r="H108" s="4"/>
      <c r="I108" s="4"/>
      <c r="J108" s="285"/>
    </row>
    <row r="109" spans="2:10" ht="18.75" hidden="1">
      <c r="B109" s="2"/>
      <c r="C109" s="298" t="s">
        <v>125</v>
      </c>
      <c r="D109" s="313">
        <v>370</v>
      </c>
      <c r="E109" s="313">
        <v>100</v>
      </c>
      <c r="F109" s="313">
        <v>60</v>
      </c>
      <c r="G109" s="130"/>
      <c r="H109" s="4"/>
      <c r="I109" s="4"/>
      <c r="J109" s="285"/>
    </row>
    <row r="110" spans="2:10" ht="18.75" hidden="1">
      <c r="B110" s="2"/>
      <c r="C110" s="310"/>
      <c r="D110" s="310"/>
      <c r="E110" s="310"/>
      <c r="F110" s="310"/>
      <c r="G110" s="130"/>
      <c r="H110" s="4"/>
      <c r="I110" s="4"/>
      <c r="J110" s="285"/>
    </row>
    <row r="111" spans="2:10" ht="18.75" hidden="1">
      <c r="B111" s="2"/>
      <c r="C111" s="445" t="s">
        <v>247</v>
      </c>
      <c r="D111" s="445"/>
      <c r="E111" s="314"/>
      <c r="F111" s="314"/>
      <c r="G111" s="314"/>
      <c r="H111" s="314"/>
      <c r="I111" s="314"/>
      <c r="J111" s="285"/>
    </row>
    <row r="112" spans="2:10" ht="18.75" hidden="1">
      <c r="B112" s="2"/>
      <c r="C112" s="315" t="s">
        <v>67</v>
      </c>
      <c r="D112" s="313" t="e">
        <v>#N/A</v>
      </c>
      <c r="E112" s="4"/>
      <c r="F112" s="4"/>
      <c r="G112" s="4"/>
      <c r="H112" s="4"/>
      <c r="I112" s="4"/>
      <c r="J112" s="285"/>
    </row>
    <row r="113" spans="2:10" ht="18.75" hidden="1">
      <c r="B113" s="2"/>
      <c r="C113" s="315" t="s">
        <v>68</v>
      </c>
      <c r="D113" s="313" t="e">
        <v>#N/A</v>
      </c>
      <c r="E113" s="4"/>
      <c r="F113" s="4"/>
      <c r="G113" s="4"/>
      <c r="H113" s="4"/>
      <c r="I113" s="4"/>
      <c r="J113" s="285"/>
    </row>
    <row r="114" spans="2:10" ht="37.5" hidden="1">
      <c r="B114" s="2"/>
      <c r="C114" s="315" t="s">
        <v>69</v>
      </c>
      <c r="D114" s="313" t="e">
        <v>#N/A</v>
      </c>
      <c r="E114" s="4"/>
      <c r="F114" s="4"/>
      <c r="G114" s="4"/>
      <c r="H114" s="4"/>
      <c r="I114" s="4"/>
      <c r="J114" s="285"/>
    </row>
    <row r="115" spans="2:10" ht="15" hidden="1">
      <c r="B115" s="2"/>
      <c r="C115" s="130"/>
      <c r="D115" s="130"/>
      <c r="E115" s="4"/>
      <c r="F115" s="4"/>
      <c r="G115" s="4"/>
      <c r="H115" s="4"/>
      <c r="I115" s="4"/>
      <c r="J115" s="285"/>
    </row>
    <row r="116" spans="2:10" ht="18.75" hidden="1">
      <c r="B116" s="2"/>
      <c r="C116" s="446" t="s">
        <v>248</v>
      </c>
      <c r="D116" s="447"/>
      <c r="E116" s="447"/>
      <c r="F116" s="316"/>
      <c r="G116" s="284"/>
      <c r="H116" s="284"/>
      <c r="I116" s="284"/>
      <c r="J116" s="3"/>
    </row>
    <row r="117" spans="2:10" ht="18.75" hidden="1">
      <c r="B117" s="2"/>
      <c r="C117" s="317" t="s">
        <v>249</v>
      </c>
      <c r="D117" s="318"/>
      <c r="E117" s="319">
        <v>3</v>
      </c>
      <c r="F117" s="320" t="s">
        <v>27</v>
      </c>
      <c r="G117" s="284"/>
      <c r="H117" s="284"/>
      <c r="I117" s="284"/>
      <c r="J117" s="3"/>
    </row>
    <row r="118" spans="2:10" ht="31.5" hidden="1">
      <c r="B118" s="2"/>
      <c r="C118" s="317" t="s">
        <v>250</v>
      </c>
      <c r="D118" s="318"/>
      <c r="E118" s="321">
        <v>0.7</v>
      </c>
      <c r="F118" s="320" t="s">
        <v>251</v>
      </c>
      <c r="G118" s="284"/>
      <c r="H118" s="284"/>
      <c r="I118" s="284"/>
      <c r="J118" s="3"/>
    </row>
    <row r="119" spans="2:10" ht="31.5" hidden="1">
      <c r="B119" s="2"/>
      <c r="C119" s="317" t="s">
        <v>252</v>
      </c>
      <c r="D119" s="318"/>
      <c r="E119" s="321">
        <v>0</v>
      </c>
      <c r="F119" s="320" t="s">
        <v>253</v>
      </c>
      <c r="G119" s="284"/>
      <c r="H119" s="284"/>
      <c r="I119" s="284"/>
      <c r="J119" s="3"/>
    </row>
    <row r="120" spans="2:10" ht="15.75" hidden="1" thickBot="1">
      <c r="B120" s="142"/>
      <c r="C120" s="145"/>
      <c r="D120" s="145"/>
      <c r="E120" s="145"/>
      <c r="F120" s="145"/>
      <c r="G120" s="145"/>
      <c r="H120" s="145"/>
      <c r="I120" s="145"/>
      <c r="J120" s="146"/>
    </row>
    <row r="121" spans="2:10"/>
    <row r="122" spans="2:10" hidden="1"/>
    <row r="123" spans="2:10" hidden="1"/>
    <row r="124" spans="2:10" hidden="1"/>
    <row r="125" spans="2:10" hidden="1"/>
    <row r="126" spans="2:10" hidden="1"/>
    <row r="127" spans="2:10" hidden="1"/>
    <row r="128" spans="2:10" hidden="1"/>
    <row r="129" hidden="1"/>
    <row r="130" hidden="1"/>
    <row r="131" hidden="1"/>
    <row r="132" hidden="1"/>
    <row r="133" hidden="1"/>
    <row r="134" hidden="1"/>
    <row r="135"/>
    <row r="136"/>
    <row r="137"/>
  </sheetData>
  <mergeCells count="57">
    <mergeCell ref="C64:G64"/>
    <mergeCell ref="C65:F65"/>
    <mergeCell ref="E28:F28"/>
    <mergeCell ref="C29:D29"/>
    <mergeCell ref="C30:D30"/>
    <mergeCell ref="C31:D31"/>
    <mergeCell ref="C62:C63"/>
    <mergeCell ref="E62:F62"/>
    <mergeCell ref="E63:F63"/>
    <mergeCell ref="B3:J5"/>
    <mergeCell ref="C6:I6"/>
    <mergeCell ref="C7:I7"/>
    <mergeCell ref="C8:I8"/>
    <mergeCell ref="B13:J13"/>
    <mergeCell ref="C16:D16"/>
    <mergeCell ref="E16:F16"/>
    <mergeCell ref="E17:F17"/>
    <mergeCell ref="E18:F18"/>
    <mergeCell ref="E19:F19"/>
    <mergeCell ref="E20:F20"/>
    <mergeCell ref="B22:J22"/>
    <mergeCell ref="C24:H24"/>
    <mergeCell ref="C25:H25"/>
    <mergeCell ref="C27:F27"/>
    <mergeCell ref="G27:H27"/>
    <mergeCell ref="F73:G73"/>
    <mergeCell ref="F74:G74"/>
    <mergeCell ref="F75:G75"/>
    <mergeCell ref="F76:G76"/>
    <mergeCell ref="G28:J31"/>
    <mergeCell ref="C56:G56"/>
    <mergeCell ref="C57:F57"/>
    <mergeCell ref="C60:F60"/>
    <mergeCell ref="C41:F41"/>
    <mergeCell ref="C43:F43"/>
    <mergeCell ref="B48:J48"/>
    <mergeCell ref="C50:H50"/>
    <mergeCell ref="C51:H51"/>
    <mergeCell ref="C33:F33"/>
    <mergeCell ref="C39:F39"/>
    <mergeCell ref="C28:D28"/>
    <mergeCell ref="C111:D111"/>
    <mergeCell ref="C116:E116"/>
    <mergeCell ref="B68:J68"/>
    <mergeCell ref="D71:E71"/>
    <mergeCell ref="F71:G71"/>
    <mergeCell ref="D72:E72"/>
    <mergeCell ref="D73:E73"/>
    <mergeCell ref="D74:E74"/>
    <mergeCell ref="D75:E75"/>
    <mergeCell ref="D76:E76"/>
    <mergeCell ref="C80:I80"/>
    <mergeCell ref="D81:E81"/>
    <mergeCell ref="F81:G81"/>
    <mergeCell ref="H81:I81"/>
    <mergeCell ref="C70:G70"/>
    <mergeCell ref="F72:G72"/>
  </mergeCells>
  <conditionalFormatting sqref="C37:F37">
    <cfRule type="expression" dxfId="1" priority="4">
      <formula>#REF!="ИП"</formula>
    </cfRule>
  </conditionalFormatting>
  <conditionalFormatting sqref="C20:F20">
    <cfRule type="expression" dxfId="0" priority="3">
      <formula>$E$20="ПСН (патент)"</formula>
    </cfRule>
  </conditionalFormatting>
  <dataValidations count="1">
    <dataValidation allowBlank="1" showErrorMessage="1" promptTitle="Внимание" prompt="УСН (доходы - расходы)_x000a_ЕНВД" sqref="E20:F20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внутр!$A$3:$A$5</xm:f>
          </x14:formula1>
          <xm:sqref>E17:F17</xm:sqref>
        </x14:dataValidation>
        <x14:dataValidation type="list" allowBlank="1" showInputMessage="1" showErrorMessage="1">
          <x14:formula1>
            <xm:f>внутр!$A$8:$A$9</xm:f>
          </x14:formula1>
          <xm:sqref>E18:F18</xm:sqref>
        </x14:dataValidation>
        <x14:dataValidation type="list" allowBlank="1" showInputMessage="1" showErrorMessage="1">
          <x14:formula1>
            <xm:f>кредит!$D$1:$D$2</xm:f>
          </x14:formula1>
          <xm:sqref>E28:F28</xm:sqref>
        </x14:dataValidation>
        <x14:dataValidation type="list" allowBlank="1" showInputMessage="1" showErrorMessage="1">
          <x14:formula1>
            <xm:f>внутр!$A$15:$A$16</xm:f>
          </x14:formula1>
          <xm:sqref>E19:F19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/>
  </sheetPr>
  <dimension ref="A1:L40"/>
  <sheetViews>
    <sheetView showGridLines="0" workbookViewId="0">
      <selection activeCell="L15" sqref="L15"/>
    </sheetView>
  </sheetViews>
  <sheetFormatPr defaultColWidth="0" defaultRowHeight="15" zeroHeight="1"/>
  <cols>
    <col min="1" max="12" width="9.140625" customWidth="1"/>
    <col min="13" max="16384" width="9.140625" hidden="1"/>
  </cols>
  <sheetData>
    <row r="1" spans="2:11" ht="15.75" thickBot="1"/>
    <row r="2" spans="2:11" ht="20.25">
      <c r="B2" s="511"/>
      <c r="C2" s="512"/>
      <c r="D2" s="512"/>
      <c r="E2" s="512"/>
      <c r="F2" s="512"/>
      <c r="G2" s="512"/>
      <c r="H2" s="512"/>
      <c r="I2" s="512"/>
      <c r="J2" s="512"/>
      <c r="K2" s="109"/>
    </row>
    <row r="3" spans="2:11">
      <c r="B3" s="513"/>
      <c r="C3" s="514"/>
      <c r="D3" s="514"/>
      <c r="E3" s="514"/>
      <c r="F3" s="514"/>
      <c r="G3" s="514"/>
      <c r="H3" s="514"/>
      <c r="I3" s="514"/>
      <c r="J3" s="514"/>
      <c r="K3" s="515"/>
    </row>
    <row r="4" spans="2:11">
      <c r="B4" s="513"/>
      <c r="C4" s="514"/>
      <c r="D4" s="514"/>
      <c r="E4" s="514"/>
      <c r="F4" s="514"/>
      <c r="G4" s="514"/>
      <c r="H4" s="514"/>
      <c r="I4" s="514"/>
      <c r="J4" s="514"/>
      <c r="K4" s="515"/>
    </row>
    <row r="5" spans="2:11" ht="15.75" thickBot="1">
      <c r="B5" s="110"/>
      <c r="C5" s="123"/>
      <c r="D5" s="123"/>
      <c r="E5" s="123"/>
      <c r="F5" s="123"/>
      <c r="G5" s="123"/>
      <c r="H5" s="123"/>
      <c r="I5" s="123"/>
      <c r="J5" s="124"/>
      <c r="K5" s="111"/>
    </row>
    <row r="6" spans="2:11" ht="15" customHeight="1">
      <c r="B6" s="110"/>
      <c r="C6" s="516" t="s">
        <v>93</v>
      </c>
      <c r="D6" s="516"/>
      <c r="E6" s="516"/>
      <c r="F6" s="516"/>
      <c r="G6" s="516"/>
      <c r="H6" s="516"/>
      <c r="I6" s="516"/>
      <c r="J6" s="516"/>
      <c r="K6" s="111"/>
    </row>
    <row r="7" spans="2:11" ht="15.75" customHeight="1">
      <c r="B7" s="110"/>
      <c r="C7" s="517"/>
      <c r="D7" s="517"/>
      <c r="E7" s="517"/>
      <c r="F7" s="517"/>
      <c r="G7" s="517"/>
      <c r="H7" s="517"/>
      <c r="I7" s="517"/>
      <c r="J7" s="517"/>
      <c r="K7" s="111"/>
    </row>
    <row r="8" spans="2:11">
      <c r="B8" s="125"/>
      <c r="C8" s="517"/>
      <c r="D8" s="517"/>
      <c r="E8" s="517"/>
      <c r="F8" s="517"/>
      <c r="G8" s="517"/>
      <c r="H8" s="517"/>
      <c r="I8" s="517"/>
      <c r="J8" s="517"/>
      <c r="K8" s="126"/>
    </row>
    <row r="9" spans="2:11" ht="15.75" thickBot="1">
      <c r="B9" s="125"/>
      <c r="C9" s="518"/>
      <c r="D9" s="518"/>
      <c r="E9" s="518"/>
      <c r="F9" s="518"/>
      <c r="G9" s="518"/>
      <c r="H9" s="518"/>
      <c r="I9" s="518"/>
      <c r="J9" s="518"/>
      <c r="K9" s="126"/>
    </row>
    <row r="10" spans="2:11">
      <c r="B10" s="125"/>
      <c r="C10" s="94"/>
      <c r="D10" s="94"/>
      <c r="E10" s="94"/>
      <c r="F10" s="94"/>
      <c r="G10" s="94"/>
      <c r="H10" s="94"/>
      <c r="I10" s="94"/>
      <c r="J10" s="94"/>
      <c r="K10" s="126"/>
    </row>
    <row r="11" spans="2:11">
      <c r="B11" s="125"/>
      <c r="C11" s="94"/>
      <c r="D11" s="94"/>
      <c r="E11" s="94"/>
      <c r="F11" s="94"/>
      <c r="G11" s="94"/>
      <c r="H11" s="94"/>
      <c r="I11" s="94"/>
      <c r="J11" s="94"/>
      <c r="K11" s="126"/>
    </row>
    <row r="12" spans="2:11">
      <c r="B12" s="125"/>
      <c r="C12" s="94"/>
      <c r="D12" s="94"/>
      <c r="E12" s="94"/>
      <c r="F12" s="94"/>
      <c r="G12" s="94"/>
      <c r="H12" s="94"/>
      <c r="I12" s="94"/>
      <c r="J12" s="94"/>
      <c r="K12" s="126"/>
    </row>
    <row r="13" spans="2:11">
      <c r="B13" s="125"/>
      <c r="C13" s="94"/>
      <c r="D13" s="94"/>
      <c r="E13" s="94"/>
      <c r="F13" s="94"/>
      <c r="G13" s="94"/>
      <c r="H13" s="94"/>
      <c r="I13" s="94"/>
      <c r="J13" s="94"/>
      <c r="K13" s="126"/>
    </row>
    <row r="14" spans="2:11">
      <c r="B14" s="125"/>
      <c r="C14" s="94"/>
      <c r="D14" s="94"/>
      <c r="E14" s="94"/>
      <c r="F14" s="94"/>
      <c r="G14" s="94"/>
      <c r="H14" s="94"/>
      <c r="I14" s="94"/>
      <c r="J14" s="94"/>
      <c r="K14" s="126"/>
    </row>
    <row r="15" spans="2:11">
      <c r="B15" s="125"/>
      <c r="C15" s="94"/>
      <c r="D15" s="94"/>
      <c r="E15" s="94"/>
      <c r="F15" s="94"/>
      <c r="G15" s="94"/>
      <c r="H15" s="94"/>
      <c r="I15" s="94"/>
      <c r="J15" s="94"/>
      <c r="K15" s="126"/>
    </row>
    <row r="16" spans="2:11">
      <c r="B16" s="125"/>
      <c r="C16" s="94"/>
      <c r="D16" s="94"/>
      <c r="E16" s="94"/>
      <c r="F16" s="94"/>
      <c r="G16" s="94"/>
      <c r="H16" s="94"/>
      <c r="I16" s="94"/>
      <c r="J16" s="94"/>
      <c r="K16" s="126"/>
    </row>
    <row r="17" spans="2:11">
      <c r="B17" s="125"/>
      <c r="C17" s="94"/>
      <c r="D17" s="94"/>
      <c r="E17" s="94"/>
      <c r="F17" s="94"/>
      <c r="G17" s="94"/>
      <c r="H17" s="94"/>
      <c r="I17" s="94"/>
      <c r="J17" s="94"/>
      <c r="K17" s="126"/>
    </row>
    <row r="18" spans="2:11">
      <c r="B18" s="125"/>
      <c r="C18" s="94"/>
      <c r="D18" s="94"/>
      <c r="E18" s="94"/>
      <c r="F18" s="94"/>
      <c r="G18" s="94"/>
      <c r="H18" s="94"/>
      <c r="I18" s="94"/>
      <c r="J18" s="94"/>
      <c r="K18" s="126"/>
    </row>
    <row r="19" spans="2:11">
      <c r="B19" s="125"/>
      <c r="C19" s="94"/>
      <c r="D19" s="94"/>
      <c r="E19" s="94"/>
      <c r="F19" s="94"/>
      <c r="G19" s="94"/>
      <c r="H19" s="94"/>
      <c r="I19" s="94"/>
      <c r="J19" s="94"/>
      <c r="K19" s="126"/>
    </row>
    <row r="20" spans="2:11">
      <c r="B20" s="125"/>
      <c r="C20" s="94"/>
      <c r="D20" s="94"/>
      <c r="E20" s="94"/>
      <c r="F20" s="94"/>
      <c r="G20" s="94"/>
      <c r="H20" s="94"/>
      <c r="I20" s="94"/>
      <c r="J20" s="94"/>
      <c r="K20" s="126"/>
    </row>
    <row r="21" spans="2:11">
      <c r="B21" s="125"/>
      <c r="C21" s="94"/>
      <c r="D21" s="94"/>
      <c r="E21" s="94"/>
      <c r="F21" s="94"/>
      <c r="G21" s="94"/>
      <c r="H21" s="94"/>
      <c r="I21" s="94"/>
      <c r="J21" s="94"/>
      <c r="K21" s="126"/>
    </row>
    <row r="22" spans="2:11">
      <c r="B22" s="125"/>
      <c r="C22" s="94"/>
      <c r="D22" s="94"/>
      <c r="E22" s="94"/>
      <c r="F22" s="94"/>
      <c r="G22" s="94"/>
      <c r="H22" s="94"/>
      <c r="I22" s="94"/>
      <c r="J22" s="94"/>
      <c r="K22" s="126"/>
    </row>
    <row r="23" spans="2:11">
      <c r="B23" s="125"/>
      <c r="C23" s="94"/>
      <c r="D23" s="94"/>
      <c r="E23" s="94"/>
      <c r="F23" s="94"/>
      <c r="G23" s="94"/>
      <c r="H23" s="94"/>
      <c r="I23" s="94"/>
      <c r="J23" s="94"/>
      <c r="K23" s="126"/>
    </row>
    <row r="24" spans="2:11">
      <c r="B24" s="125"/>
      <c r="C24" s="94"/>
      <c r="D24" s="94"/>
      <c r="E24" s="94"/>
      <c r="F24" s="94"/>
      <c r="G24" s="94"/>
      <c r="H24" s="94"/>
      <c r="I24" s="94"/>
      <c r="J24" s="94"/>
      <c r="K24" s="126"/>
    </row>
    <row r="25" spans="2:11">
      <c r="B25" s="125"/>
      <c r="C25" s="94"/>
      <c r="D25" s="94"/>
      <c r="E25" s="94"/>
      <c r="F25" s="94"/>
      <c r="G25" s="94"/>
      <c r="H25" s="94"/>
      <c r="I25" s="94"/>
      <c r="J25" s="94"/>
      <c r="K25" s="126"/>
    </row>
    <row r="26" spans="2:11">
      <c r="B26" s="125"/>
      <c r="C26" s="94"/>
      <c r="D26" s="94"/>
      <c r="E26" s="94"/>
      <c r="F26" s="94"/>
      <c r="G26" s="94"/>
      <c r="H26" s="94"/>
      <c r="I26" s="94"/>
      <c r="J26" s="94"/>
      <c r="K26" s="126"/>
    </row>
    <row r="27" spans="2:11">
      <c r="B27" s="125"/>
      <c r="C27" s="94"/>
      <c r="D27" s="94"/>
      <c r="E27" s="94"/>
      <c r="F27" s="94"/>
      <c r="G27" s="94"/>
      <c r="H27" s="94"/>
      <c r="I27" s="94"/>
      <c r="J27" s="94"/>
      <c r="K27" s="126"/>
    </row>
    <row r="28" spans="2:11">
      <c r="B28" s="125"/>
      <c r="C28" s="94"/>
      <c r="D28" s="94"/>
      <c r="E28" s="94"/>
      <c r="F28" s="94"/>
      <c r="G28" s="94"/>
      <c r="H28" s="94"/>
      <c r="I28" s="94"/>
      <c r="J28" s="94"/>
      <c r="K28" s="126"/>
    </row>
    <row r="29" spans="2:11">
      <c r="B29" s="125"/>
      <c r="C29" s="94"/>
      <c r="D29" s="94"/>
      <c r="E29" s="94"/>
      <c r="F29" s="94"/>
      <c r="G29" s="94"/>
      <c r="H29" s="94"/>
      <c r="I29" s="94"/>
      <c r="J29" s="94"/>
      <c r="K29" s="126"/>
    </row>
    <row r="30" spans="2:11">
      <c r="B30" s="125"/>
      <c r="C30" s="94"/>
      <c r="D30" s="94"/>
      <c r="E30" s="94"/>
      <c r="F30" s="94"/>
      <c r="G30" s="94"/>
      <c r="H30" s="94"/>
      <c r="I30" s="94"/>
      <c r="J30" s="94"/>
      <c r="K30" s="126"/>
    </row>
    <row r="31" spans="2:11">
      <c r="B31" s="125"/>
      <c r="C31" s="94"/>
      <c r="D31" s="94"/>
      <c r="E31" s="94"/>
      <c r="F31" s="94"/>
      <c r="G31" s="94"/>
      <c r="H31" s="94"/>
      <c r="I31" s="94"/>
      <c r="J31" s="94"/>
      <c r="K31" s="126"/>
    </row>
    <row r="32" spans="2:11">
      <c r="B32" s="125"/>
      <c r="C32" s="94"/>
      <c r="D32" s="94"/>
      <c r="E32" s="94"/>
      <c r="F32" s="94"/>
      <c r="G32" s="94"/>
      <c r="H32" s="94"/>
      <c r="I32" s="94"/>
      <c r="J32" s="94"/>
      <c r="K32" s="126"/>
    </row>
    <row r="33" spans="2:11">
      <c r="B33" s="125"/>
      <c r="C33" s="94"/>
      <c r="D33" s="94"/>
      <c r="E33" s="94"/>
      <c r="F33" s="94"/>
      <c r="G33" s="94"/>
      <c r="H33" s="94"/>
      <c r="I33" s="94"/>
      <c r="J33" s="94"/>
      <c r="K33" s="126"/>
    </row>
    <row r="34" spans="2:11">
      <c r="B34" s="125"/>
      <c r="C34" s="94"/>
      <c r="D34" s="94"/>
      <c r="E34" s="94"/>
      <c r="F34" s="94"/>
      <c r="G34" s="94"/>
      <c r="H34" s="94"/>
      <c r="I34" s="94"/>
      <c r="J34" s="94"/>
      <c r="K34" s="126"/>
    </row>
    <row r="35" spans="2:11">
      <c r="B35" s="125"/>
      <c r="C35" s="94"/>
      <c r="D35" s="94"/>
      <c r="E35" s="94"/>
      <c r="F35" s="94"/>
      <c r="G35" s="94"/>
      <c r="H35" s="94"/>
      <c r="I35" s="94"/>
      <c r="J35" s="94"/>
      <c r="K35" s="126"/>
    </row>
    <row r="36" spans="2:11">
      <c r="B36" s="125"/>
      <c r="C36" s="94"/>
      <c r="D36" s="94"/>
      <c r="E36" s="94"/>
      <c r="F36" s="94"/>
      <c r="G36" s="94"/>
      <c r="H36" s="94"/>
      <c r="I36" s="94"/>
      <c r="J36" s="94"/>
      <c r="K36" s="126"/>
    </row>
    <row r="37" spans="2:11">
      <c r="B37" s="125"/>
      <c r="C37" s="94"/>
      <c r="D37" s="94"/>
      <c r="E37" s="94"/>
      <c r="F37" s="94"/>
      <c r="G37" s="94"/>
      <c r="H37" s="94"/>
      <c r="I37" s="94"/>
      <c r="J37" s="94"/>
      <c r="K37" s="126"/>
    </row>
    <row r="38" spans="2:11" ht="15.75" thickBot="1">
      <c r="B38" s="127"/>
      <c r="C38" s="128"/>
      <c r="D38" s="128"/>
      <c r="E38" s="128"/>
      <c r="F38" s="128"/>
      <c r="G38" s="128"/>
      <c r="H38" s="128"/>
      <c r="I38" s="128"/>
      <c r="J38" s="128"/>
      <c r="K38" s="129"/>
    </row>
    <row r="39" spans="2:11"/>
    <row r="40" spans="2:11"/>
  </sheetData>
  <mergeCells count="3">
    <mergeCell ref="B2:J2"/>
    <mergeCell ref="B3:K4"/>
    <mergeCell ref="C6:J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/>
  </sheetPr>
  <dimension ref="A1:V56"/>
  <sheetViews>
    <sheetView showGridLines="0" zoomScaleNormal="100" workbookViewId="0">
      <selection activeCell="F27" sqref="F27"/>
    </sheetView>
  </sheetViews>
  <sheetFormatPr defaultColWidth="0" defaultRowHeight="20.25" customHeight="1" zeroHeight="1" outlineLevelRow="1"/>
  <cols>
    <col min="1" max="1" width="7.140625" style="130" customWidth="1"/>
    <col min="2" max="2" width="10.7109375" style="130" customWidth="1"/>
    <col min="3" max="3" width="27.7109375" style="130" customWidth="1"/>
    <col min="4" max="4" width="9.7109375" style="130" customWidth="1"/>
    <col min="5" max="5" width="18.42578125" style="130" customWidth="1"/>
    <col min="6" max="6" width="16.42578125" style="131" customWidth="1"/>
    <col min="7" max="7" width="20.28515625" style="130" customWidth="1"/>
    <col min="8" max="8" width="46.140625" style="130" customWidth="1"/>
    <col min="9" max="9" width="10.7109375" style="130" customWidth="1"/>
    <col min="10" max="10" width="7.140625" style="130" customWidth="1"/>
    <col min="11" max="11" width="20.28515625" style="130" hidden="1" customWidth="1"/>
    <col min="12" max="12" width="20.85546875" style="130" hidden="1" customWidth="1"/>
    <col min="13" max="13" width="11.28515625" style="130" hidden="1" customWidth="1"/>
    <col min="14" max="14" width="13.42578125" style="130" hidden="1" customWidth="1"/>
    <col min="15" max="15" width="16.42578125" style="130" hidden="1" customWidth="1"/>
    <col min="16" max="16" width="17.28515625" style="130" hidden="1" customWidth="1"/>
    <col min="17" max="17" width="14.7109375" style="130" hidden="1" customWidth="1"/>
    <col min="18" max="22" width="0" style="130" hidden="1" customWidth="1"/>
    <col min="23" max="16384" width="15.140625" style="130" hidden="1"/>
  </cols>
  <sheetData>
    <row r="1" spans="2:10" ht="22.5" customHeight="1" thickBot="1"/>
    <row r="2" spans="2:10" ht="22.5" customHeight="1">
      <c r="B2" s="132"/>
      <c r="C2" s="133"/>
      <c r="D2" s="133"/>
      <c r="E2" s="133"/>
      <c r="F2" s="134"/>
      <c r="G2" s="133"/>
      <c r="H2" s="133"/>
      <c r="I2" s="135"/>
    </row>
    <row r="3" spans="2:10" s="136" customFormat="1" ht="22.5" customHeight="1">
      <c r="B3" s="519"/>
      <c r="C3" s="520"/>
      <c r="D3" s="520"/>
      <c r="E3" s="520"/>
      <c r="F3" s="520"/>
      <c r="G3" s="520"/>
      <c r="H3" s="520"/>
      <c r="I3" s="521"/>
    </row>
    <row r="4" spans="2:10" ht="8.25" customHeight="1">
      <c r="B4" s="519"/>
      <c r="C4" s="520"/>
      <c r="D4" s="520"/>
      <c r="E4" s="520"/>
      <c r="F4" s="520"/>
      <c r="G4" s="520"/>
      <c r="H4" s="520"/>
      <c r="I4" s="521"/>
    </row>
    <row r="5" spans="2:10" ht="7.5" customHeight="1">
      <c r="B5" s="519"/>
      <c r="C5" s="520"/>
      <c r="D5" s="520"/>
      <c r="E5" s="520"/>
      <c r="F5" s="520"/>
      <c r="G5" s="520"/>
      <c r="H5" s="520"/>
      <c r="I5" s="521"/>
      <c r="J5" s="161"/>
    </row>
    <row r="6" spans="2:10" ht="6.75" customHeight="1" thickBot="1">
      <c r="B6" s="2"/>
      <c r="C6" s="4"/>
      <c r="D6" s="4"/>
      <c r="E6" s="4"/>
      <c r="F6" s="4"/>
      <c r="G6" s="4"/>
      <c r="H6" s="4"/>
      <c r="I6" s="3"/>
      <c r="J6" s="162"/>
    </row>
    <row r="7" spans="2:10" ht="18.75" customHeight="1">
      <c r="B7" s="2"/>
      <c r="C7" s="522" t="s">
        <v>18</v>
      </c>
      <c r="D7" s="522"/>
      <c r="E7" s="522"/>
      <c r="F7" s="522"/>
      <c r="G7" s="522"/>
      <c r="H7" s="522"/>
      <c r="I7" s="137"/>
      <c r="J7" s="163"/>
    </row>
    <row r="8" spans="2:10" ht="27" customHeight="1" thickBot="1">
      <c r="B8" s="2"/>
      <c r="C8" s="523" t="s">
        <v>109</v>
      </c>
      <c r="D8" s="523"/>
      <c r="E8" s="523"/>
      <c r="F8" s="523"/>
      <c r="G8" s="523"/>
      <c r="H8" s="523"/>
      <c r="I8" s="137"/>
      <c r="J8" s="163"/>
    </row>
    <row r="9" spans="2:10" ht="18" customHeight="1">
      <c r="B9" s="2"/>
      <c r="C9" s="4"/>
      <c r="D9" s="4"/>
      <c r="E9" s="138"/>
      <c r="F9" s="7"/>
      <c r="G9" s="7"/>
      <c r="H9" s="7"/>
      <c r="I9" s="137"/>
      <c r="J9" s="163"/>
    </row>
    <row r="10" spans="2:10" ht="18" customHeight="1">
      <c r="B10" s="2"/>
      <c r="C10" s="5"/>
      <c r="D10" s="4"/>
      <c r="E10" s="138"/>
      <c r="F10" s="7"/>
      <c r="G10" s="7"/>
      <c r="H10" s="7"/>
      <c r="I10" s="137"/>
      <c r="J10" s="163"/>
    </row>
    <row r="11" spans="2:10" ht="18.75" customHeight="1">
      <c r="B11" s="2"/>
      <c r="C11" s="524" t="s">
        <v>110</v>
      </c>
      <c r="D11" s="524"/>
      <c r="E11" s="524"/>
      <c r="F11" s="525"/>
      <c r="G11" s="6"/>
      <c r="H11" s="7"/>
      <c r="I11" s="3"/>
      <c r="J11" s="163"/>
    </row>
    <row r="12" spans="2:10" ht="18.75" customHeight="1">
      <c r="B12" s="2"/>
      <c r="C12" s="148" t="s">
        <v>298</v>
      </c>
      <c r="D12" s="149"/>
      <c r="E12" s="150"/>
      <c r="F12" s="151">
        <f>SUM(F13:F17)</f>
        <v>17400</v>
      </c>
      <c r="G12" s="6"/>
      <c r="H12" s="7"/>
      <c r="I12" s="3"/>
      <c r="J12" s="163"/>
    </row>
    <row r="13" spans="2:10" ht="10.5" customHeight="1" outlineLevel="1">
      <c r="B13" s="2"/>
      <c r="C13" s="152" t="s">
        <v>28</v>
      </c>
      <c r="D13" s="153"/>
      <c r="E13" s="153"/>
      <c r="F13" s="154">
        <v>4000</v>
      </c>
      <c r="G13" s="6"/>
      <c r="H13" s="7"/>
      <c r="I13" s="3"/>
      <c r="J13" s="163"/>
    </row>
    <row r="14" spans="2:10" ht="11.25" customHeight="1" outlineLevel="1">
      <c r="B14" s="2"/>
      <c r="C14" s="152" t="s">
        <v>111</v>
      </c>
      <c r="D14" s="153"/>
      <c r="E14" s="153"/>
      <c r="F14" s="154">
        <v>900</v>
      </c>
      <c r="G14" s="6"/>
      <c r="H14" s="7"/>
      <c r="I14" s="3"/>
      <c r="J14" s="163"/>
    </row>
    <row r="15" spans="2:10" ht="12.75" customHeight="1" outlineLevel="1">
      <c r="B15" s="2"/>
      <c r="C15" s="152" t="s">
        <v>30</v>
      </c>
      <c r="D15" s="153"/>
      <c r="E15" s="153"/>
      <c r="F15" s="154">
        <v>500</v>
      </c>
      <c r="G15" s="6"/>
      <c r="H15" s="139"/>
      <c r="I15" s="3"/>
      <c r="J15" s="163"/>
    </row>
    <row r="16" spans="2:10" ht="13.5" customHeight="1" outlineLevel="1">
      <c r="B16" s="2"/>
      <c r="C16" s="152" t="s">
        <v>31</v>
      </c>
      <c r="D16" s="153"/>
      <c r="E16" s="153"/>
      <c r="F16" s="154">
        <v>10000</v>
      </c>
      <c r="G16" s="6"/>
      <c r="H16" s="140"/>
      <c r="I16" s="3"/>
      <c r="J16" s="163"/>
    </row>
    <row r="17" spans="2:18" ht="12" customHeight="1" outlineLevel="1">
      <c r="B17" s="2"/>
      <c r="C17" s="152" t="s">
        <v>112</v>
      </c>
      <c r="D17" s="153"/>
      <c r="E17" s="153"/>
      <c r="F17" s="154">
        <v>2000</v>
      </c>
      <c r="G17" s="6"/>
      <c r="H17" s="140"/>
      <c r="I17" s="3"/>
      <c r="J17" s="163"/>
    </row>
    <row r="18" spans="2:18" ht="12" customHeight="1">
      <c r="B18" s="2"/>
      <c r="C18" s="148" t="s">
        <v>100</v>
      </c>
      <c r="D18" s="153"/>
      <c r="E18" s="153"/>
      <c r="F18" s="151">
        <f>VLOOKUP(Параметры!$E$17,внутр!A3:B5,2,0)</f>
        <v>500000</v>
      </c>
      <c r="G18" s="6"/>
      <c r="H18" s="140"/>
      <c r="I18" s="3"/>
      <c r="J18" s="163"/>
    </row>
    <row r="19" spans="2:18" ht="15.75" customHeight="1">
      <c r="B19" s="2"/>
      <c r="C19" s="148" t="s">
        <v>33</v>
      </c>
      <c r="D19" s="155"/>
      <c r="E19" s="156"/>
      <c r="F19" s="151">
        <f>SUM(F20:F20)</f>
        <v>5000</v>
      </c>
      <c r="G19" s="8"/>
      <c r="H19" s="140"/>
      <c r="I19" s="9"/>
      <c r="J19" s="163"/>
    </row>
    <row r="20" spans="2:18" ht="12.75" customHeight="1" outlineLevel="1">
      <c r="B20" s="2"/>
      <c r="C20" s="152" t="s">
        <v>113</v>
      </c>
      <c r="D20" s="153"/>
      <c r="E20" s="153"/>
      <c r="F20" s="157">
        <f>Параметры!F40</f>
        <v>5000</v>
      </c>
      <c r="G20" s="8"/>
      <c r="H20" s="141"/>
      <c r="I20" s="9"/>
      <c r="J20" s="163"/>
    </row>
    <row r="21" spans="2:18" ht="12" customHeight="1">
      <c r="B21" s="2"/>
      <c r="C21" s="148" t="str">
        <f>Параметры!C41</f>
        <v>Оснащение  помещений</v>
      </c>
      <c r="D21" s="153"/>
      <c r="E21" s="153"/>
      <c r="F21" s="151">
        <f>F22</f>
        <v>30000</v>
      </c>
      <c r="G21" s="8"/>
      <c r="H21" s="140"/>
      <c r="I21" s="9"/>
      <c r="J21" s="163"/>
    </row>
    <row r="22" spans="2:18" ht="14.25" customHeight="1" outlineLevel="1">
      <c r="B22" s="2"/>
      <c r="C22" s="152" t="str">
        <f>Параметры!C42</f>
        <v>Офисная и бытовая техника, программное обеспечение</v>
      </c>
      <c r="D22" s="153"/>
      <c r="E22" s="153"/>
      <c r="F22" s="157">
        <f>Параметры!F42</f>
        <v>30000</v>
      </c>
      <c r="G22" s="8"/>
      <c r="H22" s="140"/>
      <c r="I22" s="9"/>
      <c r="J22" s="163"/>
    </row>
    <row r="23" spans="2:18" ht="14.25" customHeight="1">
      <c r="B23" s="2"/>
      <c r="C23" s="148" t="str">
        <f>Параметры!C43</f>
        <v>Организационные расходы</v>
      </c>
      <c r="D23" s="149"/>
      <c r="E23" s="149"/>
      <c r="F23" s="151">
        <f>SUM(F24:F25)</f>
        <v>21000</v>
      </c>
      <c r="G23" s="8"/>
      <c r="H23" s="140"/>
      <c r="I23" s="9"/>
      <c r="J23" s="163"/>
    </row>
    <row r="24" spans="2:18" ht="13.5" customHeight="1" outlineLevel="1">
      <c r="B24" s="2"/>
      <c r="C24" s="152" t="str">
        <f>Параметры!C44</f>
        <v>Бюджет рекламной кампании на старте</v>
      </c>
      <c r="D24" s="149"/>
      <c r="E24" s="149"/>
      <c r="F24" s="157">
        <f>Параметры!F44</f>
        <v>15000</v>
      </c>
      <c r="G24" s="8"/>
      <c r="H24" s="140"/>
      <c r="I24" s="9"/>
      <c r="J24" s="163"/>
    </row>
    <row r="25" spans="2:18" ht="13.5" customHeight="1" outlineLevel="1">
      <c r="B25" s="2"/>
      <c r="C25" s="152" t="str">
        <f>Параметры!C45</f>
        <v>Полиграфия (распечатка флаеров)</v>
      </c>
      <c r="D25" s="149"/>
      <c r="E25" s="149"/>
      <c r="F25" s="157">
        <f>Параметры!F45</f>
        <v>6000</v>
      </c>
      <c r="G25" s="8"/>
      <c r="H25" s="140"/>
      <c r="I25" s="9"/>
      <c r="J25" s="163"/>
    </row>
    <row r="26" spans="2:18" ht="18.75" customHeight="1">
      <c r="B26" s="2"/>
      <c r="C26" s="148" t="s">
        <v>104</v>
      </c>
      <c r="D26" s="158"/>
      <c r="E26" s="159"/>
      <c r="F26" s="151">
        <v>0</v>
      </c>
      <c r="G26" s="8"/>
      <c r="H26" s="140"/>
      <c r="I26" s="9"/>
      <c r="J26" s="163"/>
    </row>
    <row r="27" spans="2:18" ht="18.75" customHeight="1">
      <c r="B27" s="2"/>
      <c r="C27" s="526" t="s">
        <v>114</v>
      </c>
      <c r="D27" s="527"/>
      <c r="E27" s="528"/>
      <c r="F27" s="160">
        <f>F12+F18+F19+F21+F23+F26</f>
        <v>573400</v>
      </c>
      <c r="G27" s="8"/>
      <c r="H27" s="4"/>
      <c r="I27" s="9"/>
      <c r="J27" s="163"/>
    </row>
    <row r="28" spans="2:18" ht="24.75" customHeight="1">
      <c r="B28" s="2"/>
      <c r="C28" s="172"/>
      <c r="D28" s="172"/>
      <c r="E28" s="172"/>
      <c r="F28" s="173"/>
      <c r="G28" s="4"/>
      <c r="H28" s="4"/>
      <c r="I28" s="3"/>
      <c r="R28" s="164"/>
    </row>
    <row r="29" spans="2:18" ht="32.25" customHeight="1" thickBot="1">
      <c r="B29" s="142"/>
      <c r="C29" s="174"/>
      <c r="D29" s="174"/>
      <c r="E29" s="143"/>
      <c r="F29" s="144"/>
      <c r="G29" s="145"/>
      <c r="H29" s="145"/>
      <c r="I29" s="146"/>
      <c r="R29" s="164"/>
    </row>
    <row r="30" spans="2:18" ht="20.25" hidden="1" customHeight="1">
      <c r="C30" s="165"/>
      <c r="D30" s="165"/>
      <c r="E30" s="147"/>
      <c r="R30" s="164"/>
    </row>
    <row r="31" spans="2:18" ht="20.25" customHeight="1"/>
    <row r="32" spans="2:18" ht="20.25" hidden="1" customHeight="1"/>
    <row r="33" ht="20.25" hidden="1" customHeight="1"/>
    <row r="34" ht="20.25" hidden="1" customHeight="1"/>
    <row r="35" ht="20.25" hidden="1" customHeight="1"/>
    <row r="36" ht="20.25" hidden="1" customHeight="1"/>
    <row r="37" ht="20.25" hidden="1" customHeight="1"/>
    <row r="38" ht="20.25" hidden="1" customHeight="1"/>
    <row r="39" ht="20.25" hidden="1" customHeight="1"/>
    <row r="40" ht="20.25" hidden="1" customHeight="1"/>
    <row r="41" ht="20.25" hidden="1" customHeight="1"/>
    <row r="42" ht="20.25" hidden="1" customHeight="1"/>
    <row r="43" ht="20.25" hidden="1" customHeight="1"/>
    <row r="44" ht="20.25" hidden="1" customHeight="1"/>
    <row r="45" ht="20.25" hidden="1" customHeight="1"/>
    <row r="46" ht="20.25" hidden="1" customHeight="1"/>
    <row r="47" ht="20.25" hidden="1" customHeight="1"/>
    <row r="48" ht="20.25" hidden="1" customHeight="1"/>
    <row r="49" ht="20.25" hidden="1" customHeight="1"/>
    <row r="50" ht="20.25" hidden="1" customHeight="1"/>
    <row r="51" ht="20.25" hidden="1" customHeight="1"/>
    <row r="52" ht="20.25" hidden="1" customHeight="1"/>
    <row r="53" ht="20.25" hidden="1" customHeight="1"/>
    <row r="54" ht="20.25" hidden="1" customHeight="1"/>
    <row r="55" ht="20.25" hidden="1" customHeight="1"/>
    <row r="56" ht="20.25" hidden="1" customHeight="1"/>
  </sheetData>
  <mergeCells count="5">
    <mergeCell ref="B3:I5"/>
    <mergeCell ref="C7:H7"/>
    <mergeCell ref="C8:H8"/>
    <mergeCell ref="C11:F11"/>
    <mergeCell ref="C27:E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/>
  </sheetPr>
  <dimension ref="A1:AE130"/>
  <sheetViews>
    <sheetView showGridLines="0" topLeftCell="A10" zoomScale="70" zoomScaleNormal="70" workbookViewId="0">
      <selection activeCell="D24" sqref="D24"/>
    </sheetView>
  </sheetViews>
  <sheetFormatPr defaultColWidth="0" defaultRowHeight="15" customHeight="1" zeroHeight="1" outlineLevelRow="1"/>
  <cols>
    <col min="1" max="1" width="7.140625" style="130" customWidth="1"/>
    <col min="2" max="2" width="10.7109375" style="130" customWidth="1"/>
    <col min="3" max="3" width="63.5703125" style="130" customWidth="1"/>
    <col min="4" max="27" width="15.7109375" style="130" customWidth="1"/>
    <col min="28" max="28" width="10.7109375" style="130" customWidth="1"/>
    <col min="29" max="29" width="7.140625" style="130" customWidth="1"/>
    <col min="30" max="31" width="0" style="130" hidden="1" customWidth="1"/>
    <col min="32" max="16384" width="15.140625" style="130" hidden="1"/>
  </cols>
  <sheetData>
    <row r="1" spans="2:28" ht="22.5" customHeight="1" thickBot="1"/>
    <row r="2" spans="2:28" ht="22.5" customHeight="1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5"/>
    </row>
    <row r="3" spans="2:28" s="136" customFormat="1" ht="22.5" customHeight="1">
      <c r="B3" s="176"/>
      <c r="C3" s="529"/>
      <c r="D3" s="529"/>
      <c r="E3" s="529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97"/>
    </row>
    <row r="4" spans="2:28" ht="22.5" customHeight="1">
      <c r="B4" s="2"/>
      <c r="C4" s="529"/>
      <c r="D4" s="529"/>
      <c r="E4" s="529"/>
      <c r="K4" s="178"/>
      <c r="L4" s="178"/>
      <c r="M4" s="179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3"/>
    </row>
    <row r="5" spans="2:28" ht="21.75" customHeight="1" thickBot="1">
      <c r="B5" s="2"/>
      <c r="C5" s="529"/>
      <c r="D5" s="529"/>
      <c r="E5" s="529"/>
      <c r="K5" s="178"/>
      <c r="L5" s="178"/>
      <c r="M5" s="179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3"/>
    </row>
    <row r="6" spans="2:28" ht="33.75" hidden="1" customHeight="1" thickBot="1">
      <c r="B6" s="2"/>
      <c r="I6" s="161"/>
      <c r="J6" s="181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3"/>
    </row>
    <row r="7" spans="2:28" s="182" customFormat="1" ht="60" customHeight="1" thickBot="1">
      <c r="B7" s="183"/>
      <c r="C7" s="530" t="s">
        <v>115</v>
      </c>
      <c r="D7" s="530"/>
      <c r="E7" s="530"/>
      <c r="F7" s="130"/>
      <c r="G7" s="181"/>
      <c r="H7" s="181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98"/>
    </row>
    <row r="8" spans="2:28" ht="18" customHeight="1">
      <c r="B8" s="2"/>
      <c r="K8" s="180"/>
      <c r="L8" s="180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3"/>
    </row>
    <row r="9" spans="2:28" ht="18" customHeight="1">
      <c r="B9" s="2"/>
      <c r="C9" s="185" t="s">
        <v>116</v>
      </c>
      <c r="D9" s="456" t="s">
        <v>117</v>
      </c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456" t="s">
        <v>127</v>
      </c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457"/>
      <c r="AB9" s="3"/>
    </row>
    <row r="10" spans="2:28" s="186" customFormat="1" ht="18" customHeight="1" outlineLevel="1">
      <c r="B10" s="187"/>
      <c r="C10" s="188" t="s">
        <v>118</v>
      </c>
      <c r="D10" s="189">
        <v>1</v>
      </c>
      <c r="E10" s="189">
        <v>2</v>
      </c>
      <c r="F10" s="189">
        <v>3</v>
      </c>
      <c r="G10" s="189">
        <v>4</v>
      </c>
      <c r="H10" s="189">
        <v>5</v>
      </c>
      <c r="I10" s="189">
        <v>6</v>
      </c>
      <c r="J10" s="189">
        <v>7</v>
      </c>
      <c r="K10" s="189">
        <v>8</v>
      </c>
      <c r="L10" s="189">
        <v>9</v>
      </c>
      <c r="M10" s="189">
        <v>10</v>
      </c>
      <c r="N10" s="189">
        <v>11</v>
      </c>
      <c r="O10" s="189">
        <v>12</v>
      </c>
      <c r="P10" s="189">
        <v>13</v>
      </c>
      <c r="Q10" s="189">
        <v>14</v>
      </c>
      <c r="R10" s="189">
        <v>15</v>
      </c>
      <c r="S10" s="189">
        <v>16</v>
      </c>
      <c r="T10" s="189">
        <v>17</v>
      </c>
      <c r="U10" s="189">
        <v>18</v>
      </c>
      <c r="V10" s="189">
        <v>19</v>
      </c>
      <c r="W10" s="189">
        <v>20</v>
      </c>
      <c r="X10" s="189">
        <v>21</v>
      </c>
      <c r="Y10" s="189">
        <v>22</v>
      </c>
      <c r="Z10" s="189">
        <v>23</v>
      </c>
      <c r="AA10" s="189">
        <v>24</v>
      </c>
      <c r="AB10" s="199"/>
    </row>
    <row r="11" spans="2:28" ht="18" customHeight="1">
      <c r="B11" s="2"/>
      <c r="C11" s="192" t="s">
        <v>215</v>
      </c>
      <c r="D11" s="276">
        <f>IF(Параметры!$E$17=VIP!$B$1,VIP!D4, IF(Параметры!$E$17=premium!$B$1,premium!D4,IF(Параметры!$E$17=mini!$B$1,mini!D4)))</f>
        <v>12.5</v>
      </c>
      <c r="E11" s="276">
        <f>IF(Параметры!$E$17=VIP!$B$1,VIP!E4, IF(Параметры!$E$17=premium!$B$1,premium!E4,IF(Параметры!$E$17=mini!$B$1,mini!E4)))</f>
        <v>25</v>
      </c>
      <c r="F11" s="276">
        <f>IF(Параметры!$E$17=VIP!$B$1,VIP!F4, IF(Параметры!$E$17=premium!$B$1,premium!F4,IF(Параметры!$E$17=mini!$B$1,mini!F4)))</f>
        <v>50</v>
      </c>
      <c r="G11" s="276">
        <f>IF(Параметры!$E$17=VIP!$B$1,VIP!G4, IF(Параметры!$E$17=premium!$B$1,premium!G4,IF(Параметры!$E$17=mini!$B$1,mini!G4)))</f>
        <v>50</v>
      </c>
      <c r="H11" s="276">
        <f>IF(Параметры!$E$17=VIP!$B$1,VIP!H4, IF(Параметры!$E$17=premium!$B$1,premium!H4,IF(Параметры!$E$17=mini!$B$1,mini!H4)))</f>
        <v>62.5</v>
      </c>
      <c r="I11" s="276">
        <f>IF(Параметры!$E$17=VIP!$B$1,VIP!I4, IF(Параметры!$E$17=premium!$B$1,premium!I4,IF(Параметры!$E$17=mini!$B$1,mini!I4)))</f>
        <v>75</v>
      </c>
      <c r="J11" s="276">
        <f>IF(Параметры!$E$17=VIP!$B$1,VIP!J4, IF(Параметры!$E$17=premium!$B$1,premium!J4,IF(Параметры!$E$17=mini!$B$1,mini!J4)))</f>
        <v>75</v>
      </c>
      <c r="K11" s="276">
        <f>IF(Параметры!$E$17=VIP!$B$1,VIP!K4, IF(Параметры!$E$17=premium!$B$1,premium!K4,IF(Параметры!$E$17=mini!$B$1,mini!K4)))</f>
        <v>75</v>
      </c>
      <c r="L11" s="276">
        <f>IF(Параметры!$E$17=VIP!$B$1,VIP!L4, IF(Параметры!$E$17=premium!$B$1,premium!L4,IF(Параметры!$E$17=mini!$B$1,mini!L4)))</f>
        <v>75</v>
      </c>
      <c r="M11" s="276">
        <f>IF(Параметры!$E$17=VIP!$B$1,VIP!M4, IF(Параметры!$E$17=premium!$B$1,premium!M4,IF(Параметры!$E$17=mini!$B$1,mini!M4)))</f>
        <v>75</v>
      </c>
      <c r="N11" s="276">
        <f>IF(Параметры!$E$17=VIP!$B$1,VIP!N4, IF(Параметры!$E$17=premium!$B$1,premium!N4,IF(Параметры!$E$17=mini!$B$1,mini!N4)))</f>
        <v>75</v>
      </c>
      <c r="O11" s="276">
        <f>IF(Параметры!$E$17=VIP!$B$1,VIP!O4, IF(Параметры!$E$17=premium!$B$1,premium!O4,IF(Параметры!$E$17=mini!$B$1,mini!O4)))</f>
        <v>75</v>
      </c>
      <c r="P11" s="276">
        <f>IF(Параметры!$E$17=VIP!$B$1,VIP!Q4, IF(Параметры!$E$17=premium!$B$1,premium!Q4,IF(Параметры!$E$17=mini!$B$1,mini!Q4)))</f>
        <v>50</v>
      </c>
      <c r="Q11" s="276">
        <f>IF(Параметры!$E$17=VIP!$B$1,VIP!R4, IF(Параметры!$E$17=premium!$B$1,premium!R4,IF(Параметры!$E$17=mini!$B$1,mini!R4)))</f>
        <v>50</v>
      </c>
      <c r="R11" s="276">
        <f>IF(Параметры!$E$17=VIP!$B$1,VIP!S4, IF(Параметры!$E$17=premium!$B$1,premium!S4,IF(Параметры!$E$17=mini!$B$1,mini!S4)))</f>
        <v>50</v>
      </c>
      <c r="S11" s="276">
        <f>IF(Параметры!$E$17=VIP!$B$1,VIP!T4, IF(Параметры!$E$17=premium!$B$1,premium!T4,IF(Параметры!$E$17=mini!$B$1,mini!T4)))</f>
        <v>62.5</v>
      </c>
      <c r="T11" s="276">
        <f>IF(Параметры!$E$17=VIP!$B$1,VIP!U4, IF(Параметры!$E$17=premium!$B$1,premium!U4,IF(Параметры!$E$17=mini!$B$1,mini!U4)))</f>
        <v>112.5</v>
      </c>
      <c r="U11" s="276">
        <f>IF(Параметры!$E$17=VIP!$B$1,VIP!V4, IF(Параметры!$E$17=premium!$B$1,premium!V4,IF(Параметры!$E$17=mini!$B$1,mini!V4)))</f>
        <v>150</v>
      </c>
      <c r="V11" s="276">
        <f>IF(Параметры!$E$17=VIP!$B$1,VIP!W4, IF(Параметры!$E$17=premium!$B$1,premium!W4,IF(Параметры!$E$17=mini!$B$1,mini!W4)))</f>
        <v>175</v>
      </c>
      <c r="W11" s="276">
        <f>IF(Параметры!$E$17=VIP!$B$1,VIP!X4, IF(Параметры!$E$17=premium!$B$1,premium!X4,IF(Параметры!$E$17=mini!$B$1,mini!X4)))</f>
        <v>225</v>
      </c>
      <c r="X11" s="276">
        <f>IF(Параметры!$E$17=VIP!$B$1,VIP!Y4, IF(Параметры!$E$17=premium!$B$1,premium!Y4,IF(Параметры!$E$17=mini!$B$1,mini!Y4)))</f>
        <v>225</v>
      </c>
      <c r="Y11" s="276">
        <f>IF(Параметры!$E$17=VIP!$B$1,VIP!Z4, IF(Параметры!$E$17=premium!$B$1,premium!Z4,IF(Параметры!$E$17=mini!$B$1,mini!Z4)))</f>
        <v>237.5</v>
      </c>
      <c r="Z11" s="276">
        <f>IF(Параметры!$E$17=VIP!$B$1,VIP!AA4, IF(Параметры!$E$17=premium!$B$1,premium!AA4,IF(Параметры!$E$17=mini!$B$1,mini!AA4)))</f>
        <v>237.5</v>
      </c>
      <c r="AA11" s="276">
        <f>IF(Параметры!$E$17=VIP!$B$1,VIP!AB4, IF(Параметры!$E$17=premium!$B$1,premium!AB4,IF(Параметры!$E$17=mini!$B$1,mini!AB4)))</f>
        <v>250</v>
      </c>
      <c r="AB11" s="3"/>
    </row>
    <row r="12" spans="2:28" s="190" customFormat="1" ht="18" customHeight="1">
      <c r="B12" s="191"/>
      <c r="C12" s="194" t="s">
        <v>119</v>
      </c>
      <c r="D12" s="281">
        <f>SUM(D13:D17)</f>
        <v>516</v>
      </c>
      <c r="E12" s="281">
        <f t="shared" ref="E12:O12" si="0">SUM(E13:E17)</f>
        <v>981</v>
      </c>
      <c r="F12" s="281">
        <f t="shared" si="0"/>
        <v>1281.6000000000001</v>
      </c>
      <c r="G12" s="281">
        <f t="shared" si="0"/>
        <v>1621.92</v>
      </c>
      <c r="H12" s="281">
        <f t="shared" si="0"/>
        <v>1835.3040000000001</v>
      </c>
      <c r="I12" s="281">
        <f t="shared" si="0"/>
        <v>2789.1648000000005</v>
      </c>
      <c r="J12" s="281">
        <f t="shared" si="0"/>
        <v>2932.9977600000002</v>
      </c>
      <c r="K12" s="281">
        <f t="shared" si="0"/>
        <v>3263.3973120000001</v>
      </c>
      <c r="L12" s="281">
        <f t="shared" si="0"/>
        <v>2878.0767744</v>
      </c>
      <c r="M12" s="281">
        <f t="shared" si="0"/>
        <v>2674.8921292799996</v>
      </c>
      <c r="N12" s="281">
        <f t="shared" si="0"/>
        <v>2189.8705551359999</v>
      </c>
      <c r="O12" s="281">
        <f t="shared" si="0"/>
        <v>2351.2446661631998</v>
      </c>
      <c r="P12" s="281">
        <f t="shared" ref="P12:AA12" si="1">SUM(P13:P17)</f>
        <v>1650</v>
      </c>
      <c r="Q12" s="281">
        <f t="shared" si="1"/>
        <v>2914.5</v>
      </c>
      <c r="R12" s="281">
        <f t="shared" si="1"/>
        <v>3655.65</v>
      </c>
      <c r="S12" s="281">
        <f t="shared" si="1"/>
        <v>5057.28</v>
      </c>
      <c r="T12" s="281">
        <f t="shared" si="1"/>
        <v>6872.923499999999</v>
      </c>
      <c r="U12" s="281">
        <f t="shared" si="1"/>
        <v>8144.6644499999984</v>
      </c>
      <c r="V12" s="281">
        <f t="shared" si="1"/>
        <v>9351.431714999997</v>
      </c>
      <c r="W12" s="281">
        <f t="shared" si="1"/>
        <v>10621.045870499998</v>
      </c>
      <c r="X12" s="281">
        <f t="shared" si="1"/>
        <v>12073.674388349997</v>
      </c>
      <c r="Y12" s="281">
        <f t="shared" si="1"/>
        <v>12207.171550394996</v>
      </c>
      <c r="Z12" s="281">
        <f t="shared" si="1"/>
        <v>8518.2789243209991</v>
      </c>
      <c r="AA12" s="281">
        <f t="shared" si="1"/>
        <v>7083.3776451464246</v>
      </c>
      <c r="AB12" s="200"/>
    </row>
    <row r="13" spans="2:28" s="190" customFormat="1" ht="18" customHeight="1" outlineLevel="1">
      <c r="B13" s="191"/>
      <c r="C13" s="192" t="str">
        <f>VIP!C7</f>
        <v>Кол-во заказов по услугам газели:</v>
      </c>
      <c r="D13" s="193">
        <f>IF(Параметры!$E$17=VIP!$B$1,VIP!D7, IF(Параметры!$E$17=premium!$B$1,premium!D7,IF(Параметры!$E$17=mini!$B$1,mini!D7)))</f>
        <v>435</v>
      </c>
      <c r="E13" s="193">
        <f>IF(Параметры!$E$17=VIP!$B$1,VIP!E7, IF(Параметры!$E$17=premium!$B$1,premium!E7,IF(Параметры!$E$17=mini!$B$1,mini!E7)))</f>
        <v>804</v>
      </c>
      <c r="F13" s="193">
        <f>IF(Параметры!$E$17=VIP!$B$1,VIP!F7, IF(Параметры!$E$17=premium!$B$1,premium!F7,IF(Параметры!$E$17=mini!$B$1,mini!F7)))</f>
        <v>1035</v>
      </c>
      <c r="G13" s="193">
        <f>IF(Параметры!$E$17=VIP!$B$1,VIP!G7, IF(Параметры!$E$17=premium!$B$1,premium!G7,IF(Параметры!$E$17=mini!$B$1,mini!G7)))</f>
        <v>1344</v>
      </c>
      <c r="H13" s="193">
        <f>IF(Параметры!$E$17=VIP!$B$1,VIP!H7, IF(Параметры!$E$17=premium!$B$1,premium!H7,IF(Параметры!$E$17=mini!$B$1,mini!H7)))</f>
        <v>1521</v>
      </c>
      <c r="I13" s="193">
        <f>IF(Параметры!$E$17=VIP!$B$1,VIP!I7, IF(Параметры!$E$17=premium!$B$1,premium!I7,IF(Параметры!$E$17=mini!$B$1,mini!I7)))</f>
        <v>2340</v>
      </c>
      <c r="J13" s="193">
        <f>IF(Параметры!$E$17=VIP!$B$1,VIP!J7, IF(Параметры!$E$17=premium!$B$1,premium!J7,IF(Параметры!$E$17=mini!$B$1,mini!J7)))</f>
        <v>2436</v>
      </c>
      <c r="K13" s="193">
        <f>IF(Параметры!$E$17=VIP!$B$1,VIP!K7, IF(Параметры!$E$17=premium!$B$1,premium!K7,IF(Параметры!$E$17=mini!$B$1,mini!K7)))</f>
        <v>2775</v>
      </c>
      <c r="L13" s="193">
        <f>IF(Параметры!$E$17=VIP!$B$1,VIP!L7, IF(Параметры!$E$17=premium!$B$1,premium!L7,IF(Параметры!$E$17=mini!$B$1,mini!L7)))</f>
        <v>2274</v>
      </c>
      <c r="M13" s="193">
        <f>IF(Параметры!$E$17=VIP!$B$1,VIP!M7, IF(Параметры!$E$17=premium!$B$1,premium!M7,IF(Параметры!$E$17=mini!$B$1,mini!M7)))</f>
        <v>2040</v>
      </c>
      <c r="N13" s="193">
        <f>IF(Параметры!$E$17=VIP!$B$1,VIP!N7, IF(Параметры!$E$17=premium!$B$1,premium!N7,IF(Параметры!$E$17=mini!$B$1,mini!N7)))</f>
        <v>1668</v>
      </c>
      <c r="O13" s="193">
        <f>IF(Параметры!$E$17=VIP!$B$1,VIP!O7, IF(Параметры!$E$17=premium!$B$1,premium!O7,IF(Параметры!$E$17=mini!$B$1,mini!O7)))</f>
        <v>1845</v>
      </c>
      <c r="P13" s="193">
        <f>IF(Параметры!$E$17=VIP!$B$1,VIP!Q7, IF(Параметры!$E$17=premium!$B$1,premium!Q7,IF(Параметры!$E$17=mini!$B$1,mini!Q7)))</f>
        <v>1200</v>
      </c>
      <c r="Q13" s="193">
        <f>IF(Параметры!$E$17=VIP!$B$1,VIP!R7, IF(Параметры!$E$17=premium!$B$1,premium!R7,IF(Параметры!$E$17=mini!$B$1,mini!R7)))</f>
        <v>2400</v>
      </c>
      <c r="R13" s="193">
        <f>IF(Параметры!$E$17=VIP!$B$1,VIP!S7, IF(Параметры!$E$17=premium!$B$1,premium!S7,IF(Параметры!$E$17=mini!$B$1,mini!S7)))</f>
        <v>3000</v>
      </c>
      <c r="S13" s="193">
        <f>IF(Параметры!$E$17=VIP!$B$1,VIP!T7, IF(Параметры!$E$17=premium!$B$1,premium!T7,IF(Параметры!$E$17=mini!$B$1,mini!T7)))</f>
        <v>4200</v>
      </c>
      <c r="T13" s="193">
        <f>IF(Параметры!$E$17=VIP!$B$1,VIP!U7, IF(Параметры!$E$17=premium!$B$1,premium!U7,IF(Параметры!$E$17=mini!$B$1,mini!U7)))</f>
        <v>5879.9999999999991</v>
      </c>
      <c r="U13" s="193">
        <f>IF(Параметры!$E$17=VIP!$B$1,VIP!V7, IF(Параметры!$E$17=premium!$B$1,premium!V7,IF(Параметры!$E$17=mini!$B$1,mini!V7)))</f>
        <v>6761.9999999999982</v>
      </c>
      <c r="V13" s="193">
        <f>IF(Параметры!$E$17=VIP!$B$1,VIP!W7, IF(Параметры!$E$17=premium!$B$1,premium!W7,IF(Параметры!$E$17=mini!$B$1,mini!W7)))</f>
        <v>7776.2999999999984</v>
      </c>
      <c r="W13" s="193">
        <f>IF(Параметры!$E$17=VIP!$B$1,VIP!X7, IF(Параметры!$E$17=premium!$B$1,premium!X7,IF(Параметры!$E$17=mini!$B$1,mini!X7)))</f>
        <v>8942.7449999999972</v>
      </c>
      <c r="X13" s="193">
        <f>IF(Параметры!$E$17=VIP!$B$1,VIP!Y7, IF(Параметры!$E$17=premium!$B$1,premium!Y7,IF(Параметры!$E$17=mini!$B$1,mini!Y7)))</f>
        <v>10284.156749999996</v>
      </c>
      <c r="Y13" s="193">
        <f>IF(Параметры!$E$17=VIP!$B$1,VIP!Z7, IF(Параметры!$E$17=premium!$B$1,premium!Z7,IF(Параметры!$E$17=mini!$B$1,mini!Z7)))</f>
        <v>10798.364587499997</v>
      </c>
      <c r="Z13" s="193">
        <f>IF(Параметры!$E$17=VIP!$B$1,VIP!AA7, IF(Параметры!$E$17=premium!$B$1,premium!AA7,IF(Параметры!$E$17=mini!$B$1,mini!AA7)))</f>
        <v>7200</v>
      </c>
      <c r="AA13" s="193">
        <f>IF(Параметры!$E$17=VIP!$B$1,VIP!AB7, IF(Параметры!$E$17=premium!$B$1,premium!AB7,IF(Параметры!$E$17=mini!$B$1,mini!AB7)))</f>
        <v>5700</v>
      </c>
      <c r="AB13" s="200"/>
    </row>
    <row r="14" spans="2:28" s="190" customFormat="1" ht="18" customHeight="1" outlineLevel="1">
      <c r="B14" s="191"/>
      <c r="C14" s="192" t="str">
        <f>VIP!C8</f>
        <v>кол-во заказов по услугам грузчиков:</v>
      </c>
      <c r="D14" s="193">
        <f>IF(Параметры!$E$17=VIP!$B$1,VIP!D8, IF(Параметры!$E$17=premium!$B$1,premium!D8,IF(Параметры!$E$17=mini!$B$1,mini!D8)))</f>
        <v>60</v>
      </c>
      <c r="E14" s="193">
        <f>IF(Параметры!$E$17=VIP!$B$1,VIP!E8, IF(Параметры!$E$17=premium!$B$1,premium!E8,IF(Параметры!$E$17=mini!$B$1,mini!E8)))</f>
        <v>135</v>
      </c>
      <c r="F14" s="193">
        <f>IF(Параметры!$E$17=VIP!$B$1,VIP!F8, IF(Параметры!$E$17=premium!$B$1,premium!F8,IF(Параметры!$E$17=mini!$B$1,mini!F8)))</f>
        <v>180</v>
      </c>
      <c r="G14" s="193">
        <f>IF(Параметры!$E$17=VIP!$B$1,VIP!G8, IF(Параметры!$E$17=premium!$B$1,premium!G8,IF(Параметры!$E$17=mini!$B$1,mini!G8)))</f>
        <v>216</v>
      </c>
      <c r="H14" s="193">
        <f>IF(Параметры!$E$17=VIP!$B$1,VIP!H8, IF(Параметры!$E$17=premium!$B$1,premium!H8,IF(Параметры!$E$17=mini!$B$1,mini!H8)))</f>
        <v>240</v>
      </c>
      <c r="I14" s="193">
        <f>IF(Параметры!$E$17=VIP!$B$1,VIP!I8, IF(Параметры!$E$17=premium!$B$1,premium!I8,IF(Параметры!$E$17=mini!$B$1,mini!I8)))</f>
        <v>360</v>
      </c>
      <c r="J14" s="193">
        <f>IF(Параметры!$E$17=VIP!$B$1,VIP!J8, IF(Параметры!$E$17=premium!$B$1,premium!J8,IF(Параметры!$E$17=mini!$B$1,mini!J8)))</f>
        <v>390</v>
      </c>
      <c r="K14" s="193">
        <f>IF(Параметры!$E$17=VIP!$B$1,VIP!K8, IF(Параметры!$E$17=premium!$B$1,premium!K8,IF(Параметры!$E$17=mini!$B$1,mini!K8)))</f>
        <v>360</v>
      </c>
      <c r="L14" s="193">
        <f>IF(Параметры!$E$17=VIP!$B$1,VIP!L8, IF(Параметры!$E$17=premium!$B$1,premium!L8,IF(Параметры!$E$17=mini!$B$1,mini!L8)))</f>
        <v>450</v>
      </c>
      <c r="M14" s="193">
        <f>IF(Параметры!$E$17=VIP!$B$1,VIP!M8, IF(Параметры!$E$17=premium!$B$1,premium!M8,IF(Параметры!$E$17=mini!$B$1,mini!M8)))</f>
        <v>450</v>
      </c>
      <c r="N14" s="193">
        <f>IF(Параметры!$E$17=VIP!$B$1,VIP!N8, IF(Параметры!$E$17=premium!$B$1,premium!N8,IF(Параметры!$E$17=mini!$B$1,mini!N8)))</f>
        <v>300</v>
      </c>
      <c r="O14" s="193">
        <f>IF(Параметры!$E$17=VIP!$B$1,VIP!O8, IF(Параметры!$E$17=premium!$B$1,premium!O8,IF(Параметры!$E$17=mini!$B$1,mini!O8)))</f>
        <v>240</v>
      </c>
      <c r="P14" s="193">
        <f>IF(Параметры!$E$17=VIP!$B$1,VIP!Q8, IF(Параметры!$E$17=premium!$B$1,premium!Q8,IF(Параметры!$E$17=mini!$B$1,mini!Q8)))</f>
        <v>270</v>
      </c>
      <c r="Q14" s="193">
        <f>IF(Параметры!$E$17=VIP!$B$1,VIP!R8, IF(Параметры!$E$17=premium!$B$1,premium!R8,IF(Параметры!$E$17=mini!$B$1,mini!R8)))</f>
        <v>300</v>
      </c>
      <c r="R14" s="193">
        <f>IF(Параметры!$E$17=VIP!$B$1,VIP!S8, IF(Параметры!$E$17=premium!$B$1,premium!S8,IF(Параметры!$E$17=mini!$B$1,mini!S8)))</f>
        <v>375</v>
      </c>
      <c r="S14" s="193">
        <f>IF(Параметры!$E$17=VIP!$B$1,VIP!T8, IF(Параметры!$E$17=premium!$B$1,premium!T8,IF(Параметры!$E$17=mini!$B$1,mini!T8)))</f>
        <v>525</v>
      </c>
      <c r="T14" s="193">
        <f>IF(Параметры!$E$17=VIP!$B$1,VIP!U8, IF(Параметры!$E$17=premium!$B$1,premium!U8,IF(Параметры!$E$17=mini!$B$1,mini!U8)))</f>
        <v>734.99999999999989</v>
      </c>
      <c r="U14" s="193">
        <f>IF(Параметры!$E$17=VIP!$B$1,VIP!V8, IF(Параметры!$E$17=premium!$B$1,premium!V8,IF(Параметры!$E$17=mini!$B$1,mini!V8)))</f>
        <v>1028.9999999999998</v>
      </c>
      <c r="V14" s="193">
        <f>IF(Параметры!$E$17=VIP!$B$1,VIP!W8, IF(Параметры!$E$17=premium!$B$1,premium!W8,IF(Параметры!$E$17=mini!$B$1,mini!W8)))</f>
        <v>1080.4499999999998</v>
      </c>
      <c r="W14" s="193">
        <f>IF(Параметры!$E$17=VIP!$B$1,VIP!X8, IF(Параметры!$E$17=premium!$B$1,premium!X8,IF(Параметры!$E$17=mini!$B$1,mini!X8)))</f>
        <v>1134.4724999999999</v>
      </c>
      <c r="X14" s="193">
        <f>IF(Параметры!$E$17=VIP!$B$1,VIP!Y8, IF(Параметры!$E$17=premium!$B$1,premium!Y8,IF(Параметры!$E$17=mini!$B$1,mini!Y8)))</f>
        <v>1191.1961249999999</v>
      </c>
      <c r="Y14" s="193">
        <f>IF(Параметры!$E$17=VIP!$B$1,VIP!Z8, IF(Параметры!$E$17=premium!$B$1,premium!Z8,IF(Параметры!$E$17=mini!$B$1,mini!Z8)))</f>
        <v>750</v>
      </c>
      <c r="Z14" s="193">
        <f>IF(Параметры!$E$17=VIP!$B$1,VIP!AA8, IF(Параметры!$E$17=premium!$B$1,premium!AA8,IF(Параметры!$E$17=mini!$B$1,mini!AA8)))</f>
        <v>600</v>
      </c>
      <c r="AA14" s="193">
        <f>IF(Параметры!$E$17=VIP!$B$1,VIP!AB8, IF(Параметры!$E$17=premium!$B$1,premium!AB8,IF(Параметры!$E$17=mini!$B$1,mini!AB8)))</f>
        <v>600</v>
      </c>
      <c r="AB14" s="200"/>
    </row>
    <row r="15" spans="2:28" s="190" customFormat="1" ht="18" customHeight="1" outlineLevel="1">
      <c r="B15" s="191"/>
      <c r="C15" s="192" t="str">
        <f>VIP!C9</f>
        <v>Кол-во заказов по услугам эвакуаторов:</v>
      </c>
      <c r="D15" s="193">
        <f>IF(Параметры!$E$17=VIP!$B$1,VIP!D9, IF(Параметры!$E$17=premium!$B$1,premium!D9,IF(Параметры!$E$17=mini!$B$1,mini!D9)))</f>
        <v>6</v>
      </c>
      <c r="E15" s="193">
        <f>IF(Параметры!$E$17=VIP!$B$1,VIP!E9, IF(Параметры!$E$17=premium!$B$1,premium!E9,IF(Параметры!$E$17=mini!$B$1,mini!E9)))</f>
        <v>24</v>
      </c>
      <c r="F15" s="193">
        <f>IF(Параметры!$E$17=VIP!$B$1,VIP!F9, IF(Параметры!$E$17=premium!$B$1,premium!F9,IF(Параметры!$E$17=mini!$B$1,mini!F9)))</f>
        <v>45</v>
      </c>
      <c r="G15" s="193">
        <f>IF(Параметры!$E$17=VIP!$B$1,VIP!G9, IF(Параметры!$E$17=premium!$B$1,premium!G9,IF(Параметры!$E$17=mini!$B$1,mini!G9)))</f>
        <v>36</v>
      </c>
      <c r="H15" s="193">
        <f>IF(Параметры!$E$17=VIP!$B$1,VIP!H9, IF(Параметры!$E$17=premium!$B$1,premium!H9,IF(Параметры!$E$17=mini!$B$1,mini!H9)))</f>
        <v>43.199999999999996</v>
      </c>
      <c r="I15" s="193">
        <f>IF(Параметры!$E$17=VIP!$B$1,VIP!I9, IF(Параметры!$E$17=premium!$B$1,premium!I9,IF(Параметры!$E$17=mini!$B$1,mini!I9)))</f>
        <v>51.839999999999989</v>
      </c>
      <c r="J15" s="193">
        <f>IF(Параметры!$E$17=VIP!$B$1,VIP!J9, IF(Параметры!$E$17=premium!$B$1,premium!J9,IF(Параметры!$E$17=mini!$B$1,mini!J9)))</f>
        <v>62.207999999999991</v>
      </c>
      <c r="K15" s="193">
        <f>IF(Параметры!$E$17=VIP!$B$1,VIP!K9, IF(Параметры!$E$17=premium!$B$1,premium!K9,IF(Параметры!$E$17=mini!$B$1,mini!K9)))</f>
        <v>74.649599999999992</v>
      </c>
      <c r="L15" s="193">
        <f>IF(Параметры!$E$17=VIP!$B$1,VIP!L9, IF(Параметры!$E$17=premium!$B$1,premium!L9,IF(Параметры!$E$17=mini!$B$1,mini!L9)))</f>
        <v>89.579519999999974</v>
      </c>
      <c r="M15" s="193">
        <f>IF(Параметры!$E$17=VIP!$B$1,VIP!M9, IF(Параметры!$E$17=premium!$B$1,premium!M9,IF(Параметры!$E$17=mini!$B$1,mini!M9)))</f>
        <v>107.49542399999996</v>
      </c>
      <c r="N15" s="193">
        <f>IF(Параметры!$E$17=VIP!$B$1,VIP!N9, IF(Параметры!$E$17=premium!$B$1,premium!N9,IF(Параметры!$E$17=mini!$B$1,mini!N9)))</f>
        <v>128.99450879999995</v>
      </c>
      <c r="O15" s="193">
        <f>IF(Параметры!$E$17=VIP!$B$1,VIP!O9, IF(Параметры!$E$17=premium!$B$1,premium!O9,IF(Параметры!$E$17=mini!$B$1,mini!O9)))</f>
        <v>154.79341055999993</v>
      </c>
      <c r="P15" s="193">
        <f>IF(Параметры!$E$17=VIP!$B$1,VIP!Q9, IF(Параметры!$E$17=premium!$B$1,premium!Q9,IF(Параметры!$E$17=mini!$B$1,mini!Q9)))</f>
        <v>135</v>
      </c>
      <c r="Q15" s="193">
        <f>IF(Параметры!$E$17=VIP!$B$1,VIP!R9, IF(Параметры!$E$17=premium!$B$1,premium!R9,IF(Параметры!$E$17=mini!$B$1,mini!R9)))</f>
        <v>150</v>
      </c>
      <c r="R15" s="193">
        <f>IF(Параметры!$E$17=VIP!$B$1,VIP!S9, IF(Параметры!$E$17=premium!$B$1,premium!S9,IF(Параметры!$E$17=mini!$B$1,mini!S9)))</f>
        <v>187.5</v>
      </c>
      <c r="S15" s="193">
        <f>IF(Параметры!$E$17=VIP!$B$1,VIP!T9, IF(Параметры!$E$17=premium!$B$1,premium!T9,IF(Параметры!$E$17=mini!$B$1,mini!T9)))</f>
        <v>196.875</v>
      </c>
      <c r="T15" s="193">
        <f>IF(Параметры!$E$17=VIP!$B$1,VIP!U9, IF(Параметры!$E$17=premium!$B$1,premium!U9,IF(Параметры!$E$17=mini!$B$1,mini!U9)))</f>
        <v>60</v>
      </c>
      <c r="U15" s="193">
        <f>IF(Параметры!$E$17=VIP!$B$1,VIP!V9, IF(Параметры!$E$17=premium!$B$1,premium!V9,IF(Параметры!$E$17=mini!$B$1,mini!V9)))</f>
        <v>63</v>
      </c>
      <c r="V15" s="193">
        <f>IF(Параметры!$E$17=VIP!$B$1,VIP!W9, IF(Параметры!$E$17=premium!$B$1,premium!W9,IF(Параметры!$E$17=mini!$B$1,mini!W9)))</f>
        <v>66.150000000000006</v>
      </c>
      <c r="W15" s="193">
        <f>IF(Параметры!$E$17=VIP!$B$1,VIP!X9, IF(Параметры!$E$17=premium!$B$1,premium!X9,IF(Параметры!$E$17=mini!$B$1,mini!X9)))</f>
        <v>69.45750000000001</v>
      </c>
      <c r="X15" s="193">
        <f>IF(Параметры!$E$17=VIP!$B$1,VIP!Y9, IF(Параметры!$E$17=premium!$B$1,premium!Y9,IF(Параметры!$E$17=mini!$B$1,mini!Y9)))</f>
        <v>72.930375000000012</v>
      </c>
      <c r="Y15" s="193">
        <f>IF(Параметры!$E$17=VIP!$B$1,VIP!Z9, IF(Параметры!$E$17=premium!$B$1,premium!Z9,IF(Параметры!$E$17=mini!$B$1,mini!Z9)))</f>
        <v>76.576893750000011</v>
      </c>
      <c r="Z15" s="193">
        <f>IF(Параметры!$E$17=VIP!$B$1,VIP!AA9, IF(Параметры!$E$17=premium!$B$1,premium!AA9,IF(Параметры!$E$17=mini!$B$1,mini!AA9)))</f>
        <v>80.40573843750002</v>
      </c>
      <c r="AA15" s="193">
        <f>IF(Параметры!$E$17=VIP!$B$1,VIP!AB9, IF(Параметры!$E$17=premium!$B$1,premium!AB9,IF(Параметры!$E$17=mini!$B$1,mini!AB9)))</f>
        <v>84.426025359375018</v>
      </c>
      <c r="AB15" s="200"/>
    </row>
    <row r="16" spans="2:28" s="190" customFormat="1" ht="18" customHeight="1" outlineLevel="1">
      <c r="B16" s="191"/>
      <c r="C16" s="192" t="str">
        <f>VIP!C10</f>
        <v>Кол-во заказов по спецтехнике:</v>
      </c>
      <c r="D16" s="193">
        <f>IF(Параметры!$E$17=VIP!$B$1,VIP!D10, IF(Параметры!$E$17=premium!$B$1,premium!D10,IF(Параметры!$E$17=mini!$B$1,mini!D10)))</f>
        <v>5</v>
      </c>
      <c r="E16" s="193">
        <f>IF(Параметры!$E$17=VIP!$B$1,VIP!E10, IF(Параметры!$E$17=premium!$B$1,premium!E10,IF(Параметры!$E$17=mini!$B$1,mini!E10)))</f>
        <v>6</v>
      </c>
      <c r="F16" s="193">
        <f>IF(Параметры!$E$17=VIP!$B$1,VIP!F10, IF(Параметры!$E$17=premium!$B$1,premium!F10,IF(Параметры!$E$17=mini!$B$1,mini!F10)))</f>
        <v>7.1999999999999993</v>
      </c>
      <c r="G16" s="193">
        <f>IF(Параметры!$E$17=VIP!$B$1,VIP!G10, IF(Параметры!$E$17=premium!$B$1,premium!G10,IF(Параметры!$E$17=mini!$B$1,mini!G10)))</f>
        <v>8.6399999999999988</v>
      </c>
      <c r="H16" s="193">
        <f>IF(Параметры!$E$17=VIP!$B$1,VIP!H10, IF(Параметры!$E$17=premium!$B$1,premium!H10,IF(Параметры!$E$17=mini!$B$1,mini!H10)))</f>
        <v>10.367999999999999</v>
      </c>
      <c r="I16" s="193">
        <f>IF(Параметры!$E$17=VIP!$B$1,VIP!I10, IF(Параметры!$E$17=premium!$B$1,premium!I10,IF(Параметры!$E$17=mini!$B$1,mini!I10)))</f>
        <v>12.441599999999998</v>
      </c>
      <c r="J16" s="193">
        <f>IF(Параметры!$E$17=VIP!$B$1,VIP!J10, IF(Параметры!$E$17=premium!$B$1,premium!J10,IF(Параметры!$E$17=mini!$B$1,mini!J10)))</f>
        <v>14.929919999999996</v>
      </c>
      <c r="K16" s="193">
        <f>IF(Параметры!$E$17=VIP!$B$1,VIP!K10, IF(Параметры!$E$17=premium!$B$1,premium!K10,IF(Параметры!$E$17=mini!$B$1,mini!K10)))</f>
        <v>17.915903999999994</v>
      </c>
      <c r="L16" s="193">
        <f>IF(Параметры!$E$17=VIP!$B$1,VIP!L10, IF(Параметры!$E$17=premium!$B$1,premium!L10,IF(Параметры!$E$17=mini!$B$1,mini!L10)))</f>
        <v>21.499084799999991</v>
      </c>
      <c r="M16" s="193">
        <f>IF(Параметры!$E$17=VIP!$B$1,VIP!M10, IF(Параметры!$E$17=premium!$B$1,premium!M10,IF(Параметры!$E$17=mini!$B$1,mini!M10)))</f>
        <v>25.798901759999989</v>
      </c>
      <c r="N16" s="193">
        <f>IF(Параметры!$E$17=VIP!$B$1,VIP!N10, IF(Параметры!$E$17=premium!$B$1,premium!N10,IF(Параметры!$E$17=mini!$B$1,mini!N10)))</f>
        <v>30.958682111999984</v>
      </c>
      <c r="O16" s="193">
        <f>IF(Параметры!$E$17=VIP!$B$1,VIP!O10, IF(Параметры!$E$17=premium!$B$1,premium!O10,IF(Параметры!$E$17=mini!$B$1,mini!O10)))</f>
        <v>37.150418534399982</v>
      </c>
      <c r="P16" s="193">
        <f>IF(Параметры!$E$17=VIP!$B$1,VIP!Q10, IF(Параметры!$E$17=premium!$B$1,premium!Q10,IF(Параметры!$E$17=mini!$B$1,mini!Q10)))</f>
        <v>10</v>
      </c>
      <c r="Q16" s="193">
        <f>IF(Параметры!$E$17=VIP!$B$1,VIP!R10, IF(Параметры!$E$17=premium!$B$1,premium!R10,IF(Параметры!$E$17=mini!$B$1,mini!R10)))</f>
        <v>12</v>
      </c>
      <c r="R16" s="193">
        <f>IF(Параметры!$E$17=VIP!$B$1,VIP!S10, IF(Параметры!$E$17=premium!$B$1,premium!S10,IF(Параметры!$E$17=mini!$B$1,mini!S10)))</f>
        <v>14.399999999999999</v>
      </c>
      <c r="S16" s="193">
        <f>IF(Параметры!$E$17=VIP!$B$1,VIP!T10, IF(Параметры!$E$17=premium!$B$1,premium!T10,IF(Параметры!$E$17=mini!$B$1,mini!T10)))</f>
        <v>17.279999999999998</v>
      </c>
      <c r="T16" s="193">
        <f>IF(Параметры!$E$17=VIP!$B$1,VIP!U10, IF(Параметры!$E$17=premium!$B$1,premium!U10,IF(Параметры!$E$17=mini!$B$1,mini!U10)))</f>
        <v>20.735999999999997</v>
      </c>
      <c r="U16" s="193">
        <f>IF(Параметры!$E$17=VIP!$B$1,VIP!V10, IF(Параметры!$E$17=premium!$B$1,premium!V10,IF(Параметры!$E$17=mini!$B$1,mini!V10)))</f>
        <v>24.883199999999995</v>
      </c>
      <c r="V16" s="193">
        <f>IF(Параметры!$E$17=VIP!$B$1,VIP!W10, IF(Параметры!$E$17=premium!$B$1,premium!W10,IF(Параметры!$E$17=mini!$B$1,mini!W10)))</f>
        <v>29.859839999999991</v>
      </c>
      <c r="W16" s="193">
        <f>IF(Параметры!$E$17=VIP!$B$1,VIP!X10, IF(Параметры!$E$17=premium!$B$1,premium!X10,IF(Параметры!$E$17=mini!$B$1,mini!X10)))</f>
        <v>35.831807999999988</v>
      </c>
      <c r="X16" s="193">
        <f>IF(Параметры!$E$17=VIP!$B$1,VIP!Y10, IF(Параметры!$E$17=premium!$B$1,premium!Y10,IF(Параметры!$E$17=mini!$B$1,mini!Y10)))</f>
        <v>42.998169599999983</v>
      </c>
      <c r="Y16" s="193">
        <f>IF(Параметры!$E$17=VIP!$B$1,VIP!Z10, IF(Параметры!$E$17=premium!$B$1,premium!Z10,IF(Параметры!$E$17=mini!$B$1,mini!Z10)))</f>
        <v>51.597803519999978</v>
      </c>
      <c r="Z16" s="193">
        <f>IF(Параметры!$E$17=VIP!$B$1,VIP!AA10, IF(Параметры!$E$17=premium!$B$1,premium!AA10,IF(Параметры!$E$17=mini!$B$1,mini!AA10)))</f>
        <v>54.177693695999977</v>
      </c>
      <c r="AA16" s="193">
        <f>IF(Параметры!$E$17=VIP!$B$1,VIP!AB10, IF(Параметры!$E$17=premium!$B$1,premium!AB10,IF(Параметры!$E$17=mini!$B$1,mini!AB10)))</f>
        <v>56.886578380799982</v>
      </c>
      <c r="AB16" s="200"/>
    </row>
    <row r="17" spans="2:28" s="190" customFormat="1" ht="18" customHeight="1" outlineLevel="1">
      <c r="B17" s="191"/>
      <c r="C17" s="192" t="str">
        <f>VIP!C11</f>
        <v>Курьерская служба:</v>
      </c>
      <c r="D17" s="193">
        <f>IF(Параметры!$E$17=VIP!$B$1,VIP!D11, IF(Параметры!$E$17=premium!$B$1,premium!D11,IF(Параметры!$E$17=mini!$B$1,mini!D11)))</f>
        <v>10</v>
      </c>
      <c r="E17" s="193">
        <f>IF(Параметры!$E$17=VIP!$B$1,VIP!E11, IF(Параметры!$E$17=premium!$B$1,premium!E11,IF(Параметры!$E$17=mini!$B$1,mini!E11)))</f>
        <v>12</v>
      </c>
      <c r="F17" s="193">
        <f>IF(Параметры!$E$17=VIP!$B$1,VIP!F11, IF(Параметры!$E$17=premium!$B$1,premium!F11,IF(Параметры!$E$17=mini!$B$1,mini!F11)))</f>
        <v>14.399999999999999</v>
      </c>
      <c r="G17" s="193">
        <f>IF(Параметры!$E$17=VIP!$B$1,VIP!G11, IF(Параметры!$E$17=premium!$B$1,premium!G11,IF(Параметры!$E$17=mini!$B$1,mini!G11)))</f>
        <v>17.279999999999998</v>
      </c>
      <c r="H17" s="193">
        <f>IF(Параметры!$E$17=VIP!$B$1,VIP!H11, IF(Параметры!$E$17=premium!$B$1,premium!H11,IF(Параметры!$E$17=mini!$B$1,mini!H11)))</f>
        <v>20.735999999999997</v>
      </c>
      <c r="I17" s="193">
        <f>IF(Параметры!$E$17=VIP!$B$1,VIP!I11, IF(Параметры!$E$17=premium!$B$1,premium!I11,IF(Параметры!$E$17=mini!$B$1,mini!I11)))</f>
        <v>24.883199999999995</v>
      </c>
      <c r="J17" s="193">
        <f>IF(Параметры!$E$17=VIP!$B$1,VIP!J11, IF(Параметры!$E$17=premium!$B$1,premium!J11,IF(Параметры!$E$17=mini!$B$1,mini!J11)))</f>
        <v>29.859839999999991</v>
      </c>
      <c r="K17" s="193">
        <f>IF(Параметры!$E$17=VIP!$B$1,VIP!K11, IF(Параметры!$E$17=premium!$B$1,premium!K11,IF(Параметры!$E$17=mini!$B$1,mini!K11)))</f>
        <v>35.831807999999988</v>
      </c>
      <c r="L17" s="193">
        <f>IF(Параметры!$E$17=VIP!$B$1,VIP!L11, IF(Параметры!$E$17=premium!$B$1,premium!L11,IF(Параметры!$E$17=mini!$B$1,mini!L11)))</f>
        <v>42.998169599999983</v>
      </c>
      <c r="M17" s="193">
        <f>IF(Параметры!$E$17=VIP!$B$1,VIP!M11, IF(Параметры!$E$17=premium!$B$1,premium!M11,IF(Параметры!$E$17=mini!$B$1,mini!M11)))</f>
        <v>51.597803519999978</v>
      </c>
      <c r="N17" s="193">
        <f>IF(Параметры!$E$17=VIP!$B$1,VIP!N11, IF(Параметры!$E$17=premium!$B$1,premium!N11,IF(Параметры!$E$17=mini!$B$1,mini!N11)))</f>
        <v>61.917364223999968</v>
      </c>
      <c r="O17" s="193">
        <f>IF(Параметры!$E$17=VIP!$B$1,VIP!O11, IF(Параметры!$E$17=premium!$B$1,premium!O11,IF(Параметры!$E$17=mini!$B$1,mini!O11)))</f>
        <v>74.300837068799964</v>
      </c>
      <c r="P17" s="193">
        <f>IF(Параметры!$E$17=VIP!$B$1,VIP!Q11, IF(Параметры!$E$17=premium!$B$1,premium!Q11,IF(Параметры!$E$17=mini!$B$1,mini!Q11)))</f>
        <v>35</v>
      </c>
      <c r="Q17" s="193">
        <f>IF(Параметры!$E$17=VIP!$B$1,VIP!R11, IF(Параметры!$E$17=premium!$B$1,premium!R11,IF(Параметры!$E$17=mini!$B$1,mini!R11)))</f>
        <v>52.5</v>
      </c>
      <c r="R17" s="193">
        <f>IF(Параметры!$E$17=VIP!$B$1,VIP!S11, IF(Параметры!$E$17=premium!$B$1,premium!S11,IF(Параметры!$E$17=mini!$B$1,mini!S11)))</f>
        <v>78.75</v>
      </c>
      <c r="S17" s="193">
        <f>IF(Параметры!$E$17=VIP!$B$1,VIP!T11, IF(Параметры!$E$17=premium!$B$1,premium!T11,IF(Параметры!$E$17=mini!$B$1,mini!T11)))</f>
        <v>118.125</v>
      </c>
      <c r="T17" s="193">
        <f>IF(Параметры!$E$17=VIP!$B$1,VIP!U11, IF(Параметры!$E$17=premium!$B$1,premium!U11,IF(Параметры!$E$17=mini!$B$1,mini!U11)))</f>
        <v>177.1875</v>
      </c>
      <c r="U17" s="193">
        <f>IF(Параметры!$E$17=VIP!$B$1,VIP!V11, IF(Параметры!$E$17=premium!$B$1,premium!V11,IF(Параметры!$E$17=mini!$B$1,mini!V11)))</f>
        <v>265.78125</v>
      </c>
      <c r="V17" s="193">
        <f>IF(Параметры!$E$17=VIP!$B$1,VIP!W11, IF(Параметры!$E$17=premium!$B$1,premium!W11,IF(Параметры!$E$17=mini!$B$1,mini!W11)))</f>
        <v>398.671875</v>
      </c>
      <c r="W17" s="193">
        <f>IF(Параметры!$E$17=VIP!$B$1,VIP!X11, IF(Параметры!$E$17=premium!$B$1,premium!X11,IF(Параметры!$E$17=mini!$B$1,mini!X11)))</f>
        <v>438.53906250000006</v>
      </c>
      <c r="X17" s="193">
        <f>IF(Параметры!$E$17=VIP!$B$1,VIP!Y11, IF(Параметры!$E$17=premium!$B$1,premium!Y11,IF(Параметры!$E$17=mini!$B$1,mini!Y11)))</f>
        <v>482.39296875000008</v>
      </c>
      <c r="Y17" s="193">
        <f>IF(Параметры!$E$17=VIP!$B$1,VIP!Z11, IF(Параметры!$E$17=premium!$B$1,premium!Z11,IF(Параметры!$E$17=mini!$B$1,mini!Z11)))</f>
        <v>530.63226562500017</v>
      </c>
      <c r="Z17" s="193">
        <f>IF(Параметры!$E$17=VIP!$B$1,VIP!AA11, IF(Параметры!$E$17=premium!$B$1,premium!AA11,IF(Параметры!$E$17=mini!$B$1,mini!AA11)))</f>
        <v>583.69549218750024</v>
      </c>
      <c r="AA17" s="193">
        <f>IF(Параметры!$E$17=VIP!$B$1,VIP!AB11, IF(Параметры!$E$17=premium!$B$1,premium!AB11,IF(Параметры!$E$17=mini!$B$1,mini!AB11)))</f>
        <v>642.06504140625032</v>
      </c>
      <c r="AB17" s="200"/>
    </row>
    <row r="18" spans="2:28" s="190" customFormat="1" ht="18" customHeight="1">
      <c r="B18" s="191"/>
      <c r="C18" s="194" t="s">
        <v>217</v>
      </c>
      <c r="D18" s="195">
        <f>SUM(D19:D23)</f>
        <v>484670</v>
      </c>
      <c r="E18" s="195">
        <f t="shared" ref="E18:O18" si="2">SUM(E19:E23)</f>
        <v>947928</v>
      </c>
      <c r="F18" s="195">
        <f t="shared" si="2"/>
        <v>1278630</v>
      </c>
      <c r="G18" s="195">
        <f t="shared" si="2"/>
        <v>1552320</v>
      </c>
      <c r="H18" s="195">
        <f t="shared" si="2"/>
        <v>1766456.4</v>
      </c>
      <c r="I18" s="195">
        <f t="shared" si="2"/>
        <v>2631401.2799999998</v>
      </c>
      <c r="J18" s="195">
        <f t="shared" si="2"/>
        <v>2795977.5360000003</v>
      </c>
      <c r="K18" s="195">
        <f t="shared" si="2"/>
        <v>3138060.6431999998</v>
      </c>
      <c r="L18" s="195">
        <f t="shared" si="2"/>
        <v>2848680.7718400001</v>
      </c>
      <c r="M18" s="195">
        <f t="shared" si="2"/>
        <v>2738895.3262080001</v>
      </c>
      <c r="N18" s="195">
        <f t="shared" si="2"/>
        <v>2406714.3914495995</v>
      </c>
      <c r="O18" s="195">
        <f t="shared" si="2"/>
        <v>2653936.0697395196</v>
      </c>
      <c r="P18" s="195">
        <f t="shared" ref="P18:AA18" si="3">SUM(P19:P23)</f>
        <v>1878400</v>
      </c>
      <c r="Q18" s="195">
        <f t="shared" si="3"/>
        <v>3037800</v>
      </c>
      <c r="R18" s="195">
        <f t="shared" si="3"/>
        <v>3799500</v>
      </c>
      <c r="S18" s="195">
        <f t="shared" si="3"/>
        <v>5045550</v>
      </c>
      <c r="T18" s="195">
        <f t="shared" si="3"/>
        <v>6188714.9999999991</v>
      </c>
      <c r="U18" s="195">
        <f t="shared" si="3"/>
        <v>7270012.4999999981</v>
      </c>
      <c r="V18" s="195">
        <f t="shared" si="3"/>
        <v>8296424.5499999989</v>
      </c>
      <c r="W18" s="195">
        <f t="shared" si="3"/>
        <v>9427483.7549999952</v>
      </c>
      <c r="X18" s="195">
        <f t="shared" si="3"/>
        <v>10723252.688999997</v>
      </c>
      <c r="Y18" s="195">
        <f t="shared" si="3"/>
        <v>10900707.065024996</v>
      </c>
      <c r="Z18" s="195">
        <f t="shared" si="3"/>
        <v>7656389.619105001</v>
      </c>
      <c r="AA18" s="195">
        <f t="shared" si="3"/>
        <v>6386363.009904</v>
      </c>
      <c r="AB18" s="200"/>
    </row>
    <row r="19" spans="2:28" s="190" customFormat="1" ht="18" customHeight="1" outlineLevel="1">
      <c r="B19" s="191"/>
      <c r="C19" s="192" t="str">
        <f>VIP!C18</f>
        <v>Предоставление газели</v>
      </c>
      <c r="D19" s="193">
        <f>IF(Параметры!$E$17=VIP!$B$1,VIP!D18, IF(Параметры!$E$17=premium!$B$1,premium!D18,IF(Параметры!$E$17=mini!$B$1,mini!D18)))</f>
        <v>383670</v>
      </c>
      <c r="E19" s="193">
        <f>IF(Параметры!$E$17=VIP!$B$1,VIP!E18, IF(Параметры!$E$17=premium!$B$1,premium!E18,IF(Параметры!$E$17=mini!$B$1,mini!E18)))</f>
        <v>709128</v>
      </c>
      <c r="F19" s="193">
        <f>IF(Параметры!$E$17=VIP!$B$1,VIP!F18, IF(Параметры!$E$17=premium!$B$1,premium!F18,IF(Параметры!$E$17=mini!$B$1,mini!F18)))</f>
        <v>912870</v>
      </c>
      <c r="G19" s="193">
        <f>IF(Параметры!$E$17=VIP!$B$1,VIP!G18, IF(Параметры!$E$17=premium!$B$1,premium!G18,IF(Параметры!$E$17=mini!$B$1,mini!G18)))</f>
        <v>1185408</v>
      </c>
      <c r="H19" s="193">
        <f>IF(Параметры!$E$17=VIP!$B$1,VIP!H18, IF(Параметры!$E$17=premium!$B$1,premium!H18,IF(Параметры!$E$17=mini!$B$1,mini!H18)))</f>
        <v>1341522</v>
      </c>
      <c r="I19" s="193">
        <f>IF(Параметры!$E$17=VIP!$B$1,VIP!I18, IF(Параметры!$E$17=premium!$B$1,premium!I18,IF(Параметры!$E$17=mini!$B$1,mini!I18)))</f>
        <v>2063880</v>
      </c>
      <c r="J19" s="193">
        <f>IF(Параметры!$E$17=VIP!$B$1,VIP!J18, IF(Параметры!$E$17=premium!$B$1,premium!J18,IF(Параметры!$E$17=mini!$B$1,mini!J18)))</f>
        <v>2148552</v>
      </c>
      <c r="K19" s="193">
        <f>IF(Параметры!$E$17=VIP!$B$1,VIP!K18, IF(Параметры!$E$17=premium!$B$1,premium!K18,IF(Параметры!$E$17=mini!$B$1,mini!K18)))</f>
        <v>2447550</v>
      </c>
      <c r="L19" s="193">
        <f>IF(Параметры!$E$17=VIP!$B$1,VIP!L18, IF(Параметры!$E$17=premium!$B$1,premium!L18,IF(Параметры!$E$17=mini!$B$1,mini!L18)))</f>
        <v>2005668</v>
      </c>
      <c r="M19" s="193">
        <f>IF(Параметры!$E$17=VIP!$B$1,VIP!M18, IF(Параметры!$E$17=premium!$B$1,premium!M18,IF(Параметры!$E$17=mini!$B$1,mini!M18)))</f>
        <v>1799280</v>
      </c>
      <c r="N19" s="193">
        <f>IF(Параметры!$E$17=VIP!$B$1,VIP!N18, IF(Параметры!$E$17=premium!$B$1,premium!N18,IF(Параметры!$E$17=mini!$B$1,mini!N18)))</f>
        <v>1471176</v>
      </c>
      <c r="O19" s="193">
        <f>IF(Параметры!$E$17=VIP!$B$1,VIP!O18, IF(Параметры!$E$17=premium!$B$1,premium!O18,IF(Параметры!$E$17=mini!$B$1,mini!O18)))</f>
        <v>1627290</v>
      </c>
      <c r="P19" s="193">
        <f>IF(Параметры!$E$17=VIP!$B$1,VIP!Q18, IF(Параметры!$E$17=premium!$B$1,premium!Q18,IF(Параметры!$E$17=mini!$B$1,mini!Q18)))</f>
        <v>1058400</v>
      </c>
      <c r="Q19" s="193">
        <f>IF(Параметры!$E$17=VIP!$B$1,VIP!R18, IF(Параметры!$E$17=premium!$B$1,premium!R18,IF(Параметры!$E$17=mini!$B$1,mini!R18)))</f>
        <v>2116800</v>
      </c>
      <c r="R19" s="193">
        <f>IF(Параметры!$E$17=VIP!$B$1,VIP!S18, IF(Параметры!$E$17=premium!$B$1,premium!S18,IF(Параметры!$E$17=mini!$B$1,mini!S18)))</f>
        <v>2646000</v>
      </c>
      <c r="S19" s="193">
        <f>IF(Параметры!$E$17=VIP!$B$1,VIP!T18, IF(Параметры!$E$17=premium!$B$1,premium!T18,IF(Параметры!$E$17=mini!$B$1,mini!T18)))</f>
        <v>3704400</v>
      </c>
      <c r="T19" s="193">
        <f>IF(Параметры!$E$17=VIP!$B$1,VIP!U18, IF(Параметры!$E$17=premium!$B$1,premium!U18,IF(Параметры!$E$17=mini!$B$1,mini!U18)))</f>
        <v>5186159.9999999991</v>
      </c>
      <c r="U19" s="193">
        <f>IF(Параметры!$E$17=VIP!$B$1,VIP!V18, IF(Параметры!$E$17=premium!$B$1,premium!V18,IF(Параметры!$E$17=mini!$B$1,mini!V18)))</f>
        <v>5964083.9999999981</v>
      </c>
      <c r="V19" s="193">
        <f>IF(Параметры!$E$17=VIP!$B$1,VIP!W18, IF(Параметры!$E$17=premium!$B$1,premium!W18,IF(Параметры!$E$17=mini!$B$1,mini!W18)))</f>
        <v>6858696.5999999987</v>
      </c>
      <c r="W19" s="193">
        <f>IF(Параметры!$E$17=VIP!$B$1,VIP!X18, IF(Параметры!$E$17=premium!$B$1,premium!X18,IF(Параметры!$E$17=mini!$B$1,mini!X18)))</f>
        <v>7887501.0899999971</v>
      </c>
      <c r="X19" s="193">
        <f>IF(Параметры!$E$17=VIP!$B$1,VIP!Y18, IF(Параметры!$E$17=premium!$B$1,premium!Y18,IF(Параметры!$E$17=mini!$B$1,mini!Y18)))</f>
        <v>9070626.2534999978</v>
      </c>
      <c r="Y19" s="193">
        <f>IF(Параметры!$E$17=VIP!$B$1,VIP!Z18, IF(Параметры!$E$17=premium!$B$1,premium!Z18,IF(Параметры!$E$17=mini!$B$1,mini!Z18)))</f>
        <v>9524157.566174997</v>
      </c>
      <c r="Z19" s="193">
        <f>IF(Параметры!$E$17=VIP!$B$1,VIP!AA18, IF(Параметры!$E$17=premium!$B$1,premium!AA18,IF(Параметры!$E$17=mini!$B$1,mini!AA18)))</f>
        <v>6350400</v>
      </c>
      <c r="AA19" s="193">
        <f>IF(Параметры!$E$17=VIP!$B$1,VIP!AB18, IF(Параметры!$E$17=premium!$B$1,premium!AB18,IF(Параметры!$E$17=mini!$B$1,mini!AB18)))</f>
        <v>5027400</v>
      </c>
      <c r="AB19" s="200"/>
    </row>
    <row r="20" spans="2:28" s="190" customFormat="1" ht="18" customHeight="1" outlineLevel="1">
      <c r="B20" s="191"/>
      <c r="C20" s="192" t="str">
        <f>VIP!C19</f>
        <v>Услуги погрузки</v>
      </c>
      <c r="D20" s="193">
        <f>IF(Параметры!$E$17=VIP!$B$1,VIP!D19, IF(Параметры!$E$17=premium!$B$1,premium!D19,IF(Параметры!$E$17=mini!$B$1,mini!D19)))</f>
        <v>48000</v>
      </c>
      <c r="E20" s="193">
        <f>IF(Параметры!$E$17=VIP!$B$1,VIP!E19, IF(Параметры!$E$17=premium!$B$1,premium!E19,IF(Параметры!$E$17=mini!$B$1,mini!E19)))</f>
        <v>108000</v>
      </c>
      <c r="F20" s="193">
        <f>IF(Параметры!$E$17=VIP!$B$1,VIP!F19, IF(Параметры!$E$17=premium!$B$1,premium!F19,IF(Параметры!$E$17=mini!$B$1,mini!F19)))</f>
        <v>144000</v>
      </c>
      <c r="G20" s="193">
        <f>IF(Параметры!$E$17=VIP!$B$1,VIP!G19, IF(Параметры!$E$17=premium!$B$1,premium!G19,IF(Параметры!$E$17=mini!$B$1,mini!G19)))</f>
        <v>172800</v>
      </c>
      <c r="H20" s="193">
        <f>IF(Параметры!$E$17=VIP!$B$1,VIP!H19, IF(Параметры!$E$17=premium!$B$1,premium!H19,IF(Параметры!$E$17=mini!$B$1,mini!H19)))</f>
        <v>192000</v>
      </c>
      <c r="I20" s="193">
        <f>IF(Параметры!$E$17=VIP!$B$1,VIP!I19, IF(Параметры!$E$17=premium!$B$1,premium!I19,IF(Параметры!$E$17=mini!$B$1,mini!I19)))</f>
        <v>288000</v>
      </c>
      <c r="J20" s="193">
        <f>IF(Параметры!$E$17=VIP!$B$1,VIP!J19, IF(Параметры!$E$17=premium!$B$1,premium!J19,IF(Параметры!$E$17=mini!$B$1,mini!J19)))</f>
        <v>312000</v>
      </c>
      <c r="K20" s="193">
        <f>IF(Параметры!$E$17=VIP!$B$1,VIP!K19, IF(Параметры!$E$17=premium!$B$1,premium!K19,IF(Параметры!$E$17=mini!$B$1,mini!K19)))</f>
        <v>288000</v>
      </c>
      <c r="L20" s="193">
        <f>IF(Параметры!$E$17=VIP!$B$1,VIP!L19, IF(Параметры!$E$17=premium!$B$1,premium!L19,IF(Параметры!$E$17=mini!$B$1,mini!L19)))</f>
        <v>360000</v>
      </c>
      <c r="M20" s="193">
        <f>IF(Параметры!$E$17=VIP!$B$1,VIP!M19, IF(Параметры!$E$17=premium!$B$1,premium!M19,IF(Параметры!$E$17=mini!$B$1,mini!M19)))</f>
        <v>360000</v>
      </c>
      <c r="N20" s="193">
        <f>IF(Параметры!$E$17=VIP!$B$1,VIP!N19, IF(Параметры!$E$17=premium!$B$1,premium!N19,IF(Параметры!$E$17=mini!$B$1,mini!N19)))</f>
        <v>240000</v>
      </c>
      <c r="O20" s="193">
        <f>IF(Параметры!$E$17=VIP!$B$1,VIP!O19, IF(Параметры!$E$17=premium!$B$1,premium!O19,IF(Параметры!$E$17=mini!$B$1,mini!O19)))</f>
        <v>192000</v>
      </c>
      <c r="P20" s="193">
        <f>IF(Параметры!$E$17=VIP!$B$1,VIP!Q19, IF(Параметры!$E$17=premium!$B$1,premium!Q19,IF(Параметры!$E$17=mini!$B$1,mini!Q19)))</f>
        <v>216000</v>
      </c>
      <c r="Q20" s="193">
        <f>IF(Параметры!$E$17=VIP!$B$1,VIP!R19, IF(Параметры!$E$17=premium!$B$1,premium!R19,IF(Параметры!$E$17=mini!$B$1,mini!R19)))</f>
        <v>240000</v>
      </c>
      <c r="R20" s="193">
        <f>IF(Параметры!$E$17=VIP!$B$1,VIP!S19, IF(Параметры!$E$17=premium!$B$1,premium!S19,IF(Параметры!$E$17=mini!$B$1,mini!S19)))</f>
        <v>300000</v>
      </c>
      <c r="S20" s="193">
        <f>IF(Параметры!$E$17=VIP!$B$1,VIP!T19, IF(Параметры!$E$17=premium!$B$1,premium!T19,IF(Параметры!$E$17=mini!$B$1,mini!T19)))</f>
        <v>420000</v>
      </c>
      <c r="T20" s="193">
        <f>IF(Параметры!$E$17=VIP!$B$1,VIP!U19, IF(Параметры!$E$17=premium!$B$1,premium!U19,IF(Параметры!$E$17=mini!$B$1,mini!U19)))</f>
        <v>587999.99999999988</v>
      </c>
      <c r="U20" s="193">
        <f>IF(Параметры!$E$17=VIP!$B$1,VIP!V19, IF(Параметры!$E$17=premium!$B$1,premium!V19,IF(Параметры!$E$17=mini!$B$1,mini!V19)))</f>
        <v>823199.99999999977</v>
      </c>
      <c r="V20" s="193">
        <f>IF(Параметры!$E$17=VIP!$B$1,VIP!W19, IF(Параметры!$E$17=premium!$B$1,premium!W19,IF(Параметры!$E$17=mini!$B$1,mini!W19)))</f>
        <v>864359.99999999988</v>
      </c>
      <c r="W20" s="193">
        <f>IF(Параметры!$E$17=VIP!$B$1,VIP!X19, IF(Параметры!$E$17=premium!$B$1,premium!X19,IF(Параметры!$E$17=mini!$B$1,mini!X19)))</f>
        <v>907577.99999999988</v>
      </c>
      <c r="X20" s="193">
        <f>IF(Параметры!$E$17=VIP!$B$1,VIP!Y19, IF(Параметры!$E$17=premium!$B$1,premium!Y19,IF(Параметры!$E$17=mini!$B$1,mini!Y19)))</f>
        <v>952956.89999999991</v>
      </c>
      <c r="Y20" s="193">
        <f>IF(Параметры!$E$17=VIP!$B$1,VIP!Z19, IF(Параметры!$E$17=premium!$B$1,premium!Z19,IF(Параметры!$E$17=mini!$B$1,mini!Z19)))</f>
        <v>600000</v>
      </c>
      <c r="Z20" s="193">
        <f>IF(Параметры!$E$17=VIP!$B$1,VIP!AA19, IF(Параметры!$E$17=premium!$B$1,premium!AA19,IF(Параметры!$E$17=mini!$B$1,mini!AA19)))</f>
        <v>480000</v>
      </c>
      <c r="AA20" s="193">
        <f>IF(Параметры!$E$17=VIP!$B$1,VIP!AB19, IF(Параметры!$E$17=premium!$B$1,premium!AB19,IF(Параметры!$E$17=mini!$B$1,mini!AB19)))</f>
        <v>480000</v>
      </c>
      <c r="AB20" s="200"/>
    </row>
    <row r="21" spans="2:28" s="190" customFormat="1" ht="18" customHeight="1" outlineLevel="1">
      <c r="B21" s="191"/>
      <c r="C21" s="192" t="str">
        <f>VIP!C20</f>
        <v>Услуги эвакуаторов</v>
      </c>
      <c r="D21" s="193">
        <f>IF(Параметры!$E$17=VIP!$B$1,VIP!D20, IF(Параметры!$E$17=premium!$B$1,premium!D20,IF(Параметры!$E$17=mini!$B$1,mini!D20)))</f>
        <v>24000</v>
      </c>
      <c r="E21" s="193">
        <f>IF(Параметры!$E$17=VIP!$B$1,VIP!E20, IF(Параметры!$E$17=premium!$B$1,premium!E20,IF(Параметры!$E$17=mini!$B$1,mini!E20)))</f>
        <v>96000</v>
      </c>
      <c r="F21" s="193">
        <f>IF(Параметры!$E$17=VIP!$B$1,VIP!F20, IF(Параметры!$E$17=premium!$B$1,premium!F20,IF(Параметры!$E$17=mini!$B$1,mini!F20)))</f>
        <v>180000</v>
      </c>
      <c r="G21" s="193">
        <f>IF(Параметры!$E$17=VIP!$B$1,VIP!G20, IF(Параметры!$E$17=premium!$B$1,premium!G20,IF(Параметры!$E$17=mini!$B$1,mini!G20)))</f>
        <v>144000</v>
      </c>
      <c r="H21" s="193">
        <f>IF(Параметры!$E$17=VIP!$B$1,VIP!H20, IF(Параметры!$E$17=premium!$B$1,premium!H20,IF(Параметры!$E$17=mini!$B$1,mini!H20)))</f>
        <v>172799.99999999997</v>
      </c>
      <c r="I21" s="193">
        <f>IF(Параметры!$E$17=VIP!$B$1,VIP!I20, IF(Параметры!$E$17=premium!$B$1,premium!I20,IF(Параметры!$E$17=mini!$B$1,mini!I20)))</f>
        <v>207359.99999999997</v>
      </c>
      <c r="J21" s="193">
        <f>IF(Параметры!$E$17=VIP!$B$1,VIP!J20, IF(Параметры!$E$17=premium!$B$1,premium!J20,IF(Параметры!$E$17=mini!$B$1,mini!J20)))</f>
        <v>248831.99999999997</v>
      </c>
      <c r="K21" s="193">
        <f>IF(Параметры!$E$17=VIP!$B$1,VIP!K20, IF(Параметры!$E$17=premium!$B$1,premium!K20,IF(Параметры!$E$17=mini!$B$1,mini!K20)))</f>
        <v>298598.39999999997</v>
      </c>
      <c r="L21" s="193">
        <f>IF(Параметры!$E$17=VIP!$B$1,VIP!L20, IF(Параметры!$E$17=premium!$B$1,premium!L20,IF(Параметры!$E$17=mini!$B$1,mini!L20)))</f>
        <v>358318.0799999999</v>
      </c>
      <c r="M21" s="193">
        <f>IF(Параметры!$E$17=VIP!$B$1,VIP!M20, IF(Параметры!$E$17=premium!$B$1,premium!M20,IF(Параметры!$E$17=mini!$B$1,mini!M20)))</f>
        <v>429981.69599999982</v>
      </c>
      <c r="N21" s="193">
        <f>IF(Параметры!$E$17=VIP!$B$1,VIP!N20, IF(Параметры!$E$17=premium!$B$1,premium!N20,IF(Параметры!$E$17=mini!$B$1,mini!N20)))</f>
        <v>515978.03519999981</v>
      </c>
      <c r="O21" s="193">
        <f>IF(Параметры!$E$17=VIP!$B$1,VIP!O20, IF(Параметры!$E$17=premium!$B$1,premium!O20,IF(Параметры!$E$17=mini!$B$1,mini!O20)))</f>
        <v>619173.64223999972</v>
      </c>
      <c r="P21" s="193">
        <f>IF(Параметры!$E$17=VIP!$B$1,VIP!Q20, IF(Параметры!$E$17=premium!$B$1,premium!Q20,IF(Параметры!$E$17=mini!$B$1,mini!Q20)))</f>
        <v>540000</v>
      </c>
      <c r="Q21" s="193">
        <f>IF(Параметры!$E$17=VIP!$B$1,VIP!R20, IF(Параметры!$E$17=premium!$B$1,premium!R20,IF(Параметры!$E$17=mini!$B$1,mini!R20)))</f>
        <v>600000</v>
      </c>
      <c r="R21" s="193">
        <f>IF(Параметры!$E$17=VIP!$B$1,VIP!S20, IF(Параметры!$E$17=premium!$B$1,premium!S20,IF(Параметры!$E$17=mini!$B$1,mini!S20)))</f>
        <v>750000</v>
      </c>
      <c r="S21" s="193">
        <f>IF(Параметры!$E$17=VIP!$B$1,VIP!T20, IF(Параметры!$E$17=premium!$B$1,premium!T20,IF(Параметры!$E$17=mini!$B$1,mini!T20)))</f>
        <v>787500</v>
      </c>
      <c r="T21" s="193">
        <f>IF(Параметры!$E$17=VIP!$B$1,VIP!U20, IF(Параметры!$E$17=premium!$B$1,premium!U20,IF(Параметры!$E$17=mini!$B$1,mini!U20)))</f>
        <v>240000</v>
      </c>
      <c r="U21" s="193">
        <f>IF(Параметры!$E$17=VIP!$B$1,VIP!V20, IF(Параметры!$E$17=premium!$B$1,premium!V20,IF(Параметры!$E$17=mini!$B$1,mini!V20)))</f>
        <v>252000</v>
      </c>
      <c r="V21" s="193">
        <f>IF(Параметры!$E$17=VIP!$B$1,VIP!W20, IF(Параметры!$E$17=premium!$B$1,premium!W20,IF(Параметры!$E$17=mini!$B$1,mini!W20)))</f>
        <v>264600</v>
      </c>
      <c r="W21" s="193">
        <f>IF(Параметры!$E$17=VIP!$B$1,VIP!X20, IF(Параметры!$E$17=premium!$B$1,premium!X20,IF(Параметры!$E$17=mini!$B$1,mini!X20)))</f>
        <v>277830.00000000006</v>
      </c>
      <c r="X21" s="193">
        <f>IF(Параметры!$E$17=VIP!$B$1,VIP!Y20, IF(Параметры!$E$17=premium!$B$1,premium!Y20,IF(Параметры!$E$17=mini!$B$1,mini!Y20)))</f>
        <v>291721.50000000006</v>
      </c>
      <c r="Y21" s="193">
        <f>IF(Параметры!$E$17=VIP!$B$1,VIP!Z20, IF(Параметры!$E$17=premium!$B$1,premium!Z20,IF(Параметры!$E$17=mini!$B$1,mini!Z20)))</f>
        <v>306307.57500000007</v>
      </c>
      <c r="Z21" s="193">
        <f>IF(Параметры!$E$17=VIP!$B$1,VIP!AA20, IF(Параметры!$E$17=premium!$B$1,premium!AA20,IF(Параметры!$E$17=mini!$B$1,mini!AA20)))</f>
        <v>321622.9537500001</v>
      </c>
      <c r="AA21" s="193">
        <f>IF(Параметры!$E$17=VIP!$B$1,VIP!AB20, IF(Параметры!$E$17=premium!$B$1,premium!AB20,IF(Параметры!$E$17=mini!$B$1,mini!AB20)))</f>
        <v>337704.1014375001</v>
      </c>
      <c r="AB21" s="200"/>
    </row>
    <row r="22" spans="2:28" s="190" customFormat="1" ht="18" customHeight="1" outlineLevel="1">
      <c r="B22" s="191"/>
      <c r="C22" s="192" t="str">
        <f>VIP!C21</f>
        <v>Услуги спецтехники</v>
      </c>
      <c r="D22" s="193">
        <f>IF(Параметры!$E$17=VIP!$B$1,VIP!D21, IF(Параметры!$E$17=premium!$B$1,premium!D21,IF(Параметры!$E$17=mini!$B$1,mini!D21)))</f>
        <v>25000</v>
      </c>
      <c r="E22" s="193">
        <f>IF(Параметры!$E$17=VIP!$B$1,VIP!E21, IF(Параметры!$E$17=premium!$B$1,premium!E21,IF(Параметры!$E$17=mini!$B$1,mini!E21)))</f>
        <v>30000</v>
      </c>
      <c r="F22" s="193">
        <f>IF(Параметры!$E$17=VIP!$B$1,VIP!F21, IF(Параметры!$E$17=premium!$B$1,premium!F21,IF(Параметры!$E$17=mini!$B$1,mini!F21)))</f>
        <v>36000</v>
      </c>
      <c r="G22" s="193">
        <f>IF(Параметры!$E$17=VIP!$B$1,VIP!G21, IF(Параметры!$E$17=premium!$B$1,premium!G21,IF(Параметры!$E$17=mini!$B$1,mini!G21)))</f>
        <v>43199.999999999993</v>
      </c>
      <c r="H22" s="193">
        <f>IF(Параметры!$E$17=VIP!$B$1,VIP!H21, IF(Параметры!$E$17=premium!$B$1,premium!H21,IF(Параметры!$E$17=mini!$B$1,mini!H21)))</f>
        <v>51839.999999999993</v>
      </c>
      <c r="I22" s="193">
        <f>IF(Параметры!$E$17=VIP!$B$1,VIP!I21, IF(Параметры!$E$17=premium!$B$1,premium!I21,IF(Параметры!$E$17=mini!$B$1,mini!I21)))</f>
        <v>62207.999999999985</v>
      </c>
      <c r="J22" s="193">
        <f>IF(Параметры!$E$17=VIP!$B$1,VIP!J21, IF(Параметры!$E$17=premium!$B$1,premium!J21,IF(Параметры!$E$17=mini!$B$1,mini!J21)))</f>
        <v>74649.599999999977</v>
      </c>
      <c r="K22" s="193">
        <f>IF(Параметры!$E$17=VIP!$B$1,VIP!K21, IF(Параметры!$E$17=premium!$B$1,premium!K21,IF(Параметры!$E$17=mini!$B$1,mini!K21)))</f>
        <v>89579.519999999975</v>
      </c>
      <c r="L22" s="193">
        <f>IF(Параметры!$E$17=VIP!$B$1,VIP!L21, IF(Параметры!$E$17=premium!$B$1,premium!L21,IF(Параметры!$E$17=mini!$B$1,mini!L21)))</f>
        <v>107495.42399999996</v>
      </c>
      <c r="M22" s="193">
        <f>IF(Параметры!$E$17=VIP!$B$1,VIP!M21, IF(Параметры!$E$17=premium!$B$1,premium!M21,IF(Параметры!$E$17=mini!$B$1,mini!M21)))</f>
        <v>128994.50879999995</v>
      </c>
      <c r="N22" s="193">
        <f>IF(Параметры!$E$17=VIP!$B$1,VIP!N21, IF(Параметры!$E$17=premium!$B$1,premium!N21,IF(Параметры!$E$17=mini!$B$1,mini!N21)))</f>
        <v>154793.41055999993</v>
      </c>
      <c r="O22" s="193">
        <f>IF(Параметры!$E$17=VIP!$B$1,VIP!O21, IF(Параметры!$E$17=premium!$B$1,premium!O21,IF(Параметры!$E$17=mini!$B$1,mini!O21)))</f>
        <v>185752.09267199991</v>
      </c>
      <c r="P22" s="193">
        <f>IF(Параметры!$E$17=VIP!$B$1,VIP!Q21, IF(Параметры!$E$17=premium!$B$1,premium!Q21,IF(Параметры!$E$17=mini!$B$1,mini!Q21)))</f>
        <v>50000</v>
      </c>
      <c r="Q22" s="193">
        <f>IF(Параметры!$E$17=VIP!$B$1,VIP!R21, IF(Параметры!$E$17=premium!$B$1,premium!R21,IF(Параметры!$E$17=mini!$B$1,mini!R21)))</f>
        <v>60000</v>
      </c>
      <c r="R22" s="193">
        <f>IF(Параметры!$E$17=VIP!$B$1,VIP!S21, IF(Параметры!$E$17=premium!$B$1,premium!S21,IF(Параметры!$E$17=mini!$B$1,mini!S21)))</f>
        <v>72000</v>
      </c>
      <c r="S22" s="193">
        <f>IF(Параметры!$E$17=VIP!$B$1,VIP!T21, IF(Параметры!$E$17=premium!$B$1,premium!T21,IF(Параметры!$E$17=mini!$B$1,mini!T21)))</f>
        <v>86399.999999999985</v>
      </c>
      <c r="T22" s="193">
        <f>IF(Параметры!$E$17=VIP!$B$1,VIP!U21, IF(Параметры!$E$17=premium!$B$1,premium!U21,IF(Параметры!$E$17=mini!$B$1,mini!U21)))</f>
        <v>103679.99999999999</v>
      </c>
      <c r="U22" s="193">
        <f>IF(Параметры!$E$17=VIP!$B$1,VIP!V21, IF(Параметры!$E$17=premium!$B$1,premium!V21,IF(Параметры!$E$17=mini!$B$1,mini!V21)))</f>
        <v>124415.99999999997</v>
      </c>
      <c r="V22" s="193">
        <f>IF(Параметры!$E$17=VIP!$B$1,VIP!W21, IF(Параметры!$E$17=premium!$B$1,premium!W21,IF(Параметры!$E$17=mini!$B$1,mini!W21)))</f>
        <v>149299.19999999995</v>
      </c>
      <c r="W22" s="193">
        <f>IF(Параметры!$E$17=VIP!$B$1,VIP!X21, IF(Параметры!$E$17=premium!$B$1,premium!X21,IF(Параметры!$E$17=mini!$B$1,mini!X21)))</f>
        <v>179159.03999999995</v>
      </c>
      <c r="X22" s="193">
        <f>IF(Параметры!$E$17=VIP!$B$1,VIP!Y21, IF(Параметры!$E$17=premium!$B$1,premium!Y21,IF(Параметры!$E$17=mini!$B$1,mini!Y21)))</f>
        <v>214990.84799999991</v>
      </c>
      <c r="Y22" s="193">
        <f>IF(Параметры!$E$17=VIP!$B$1,VIP!Z21, IF(Параметры!$E$17=premium!$B$1,premium!Z21,IF(Параметры!$E$17=mini!$B$1,mini!Z21)))</f>
        <v>257989.0175999999</v>
      </c>
      <c r="Z22" s="193">
        <f>IF(Параметры!$E$17=VIP!$B$1,VIP!AA21, IF(Параметры!$E$17=premium!$B$1,premium!AA21,IF(Параметры!$E$17=mini!$B$1,mini!AA21)))</f>
        <v>270888.46847999986</v>
      </c>
      <c r="AA22" s="193">
        <f>IF(Параметры!$E$17=VIP!$B$1,VIP!AB21, IF(Параметры!$E$17=premium!$B$1,premium!AB21,IF(Параметры!$E$17=mini!$B$1,mini!AB21)))</f>
        <v>284432.8919039999</v>
      </c>
      <c r="AB22" s="200"/>
    </row>
    <row r="23" spans="2:28" s="190" customFormat="1" ht="18" customHeight="1" outlineLevel="1">
      <c r="B23" s="191"/>
      <c r="C23" s="192" t="str">
        <f>VIP!C22</f>
        <v>Услуги курьеров</v>
      </c>
      <c r="D23" s="193">
        <f>IF(Параметры!$E$17=VIP!$B$1,VIP!D22, IF(Параметры!$E$17=premium!$B$1,premium!D22,IF(Параметры!$E$17=mini!$B$1,mini!D22)))</f>
        <v>4000</v>
      </c>
      <c r="E23" s="193">
        <f>IF(Параметры!$E$17=VIP!$B$1,VIP!E22, IF(Параметры!$E$17=premium!$B$1,premium!E22,IF(Параметры!$E$17=mini!$B$1,mini!E22)))</f>
        <v>4800</v>
      </c>
      <c r="F23" s="193">
        <f>IF(Параметры!$E$17=VIP!$B$1,VIP!F22, IF(Параметры!$E$17=premium!$B$1,premium!F22,IF(Параметры!$E$17=mini!$B$1,mini!F22)))</f>
        <v>5759.9999999999991</v>
      </c>
      <c r="G23" s="193">
        <f>IF(Параметры!$E$17=VIP!$B$1,VIP!G22, IF(Параметры!$E$17=premium!$B$1,premium!G22,IF(Параметры!$E$17=mini!$B$1,mini!G22)))</f>
        <v>6911.9999999999991</v>
      </c>
      <c r="H23" s="193">
        <f>IF(Параметры!$E$17=VIP!$B$1,VIP!H22, IF(Параметры!$E$17=premium!$B$1,premium!H22,IF(Параметры!$E$17=mini!$B$1,mini!H22)))</f>
        <v>8294.4</v>
      </c>
      <c r="I23" s="193">
        <f>IF(Параметры!$E$17=VIP!$B$1,VIP!I22, IF(Параметры!$E$17=premium!$B$1,premium!I22,IF(Параметры!$E$17=mini!$B$1,mini!I22)))</f>
        <v>9953.2799999999988</v>
      </c>
      <c r="J23" s="193">
        <f>IF(Параметры!$E$17=VIP!$B$1,VIP!J22, IF(Параметры!$E$17=premium!$B$1,premium!J22,IF(Параметры!$E$17=mini!$B$1,mini!J22)))</f>
        <v>11943.935999999996</v>
      </c>
      <c r="K23" s="193">
        <f>IF(Параметры!$E$17=VIP!$B$1,VIP!K22, IF(Параметры!$E$17=premium!$B$1,premium!K22,IF(Параметры!$E$17=mini!$B$1,mini!K22)))</f>
        <v>14332.723199999995</v>
      </c>
      <c r="L23" s="193">
        <f>IF(Параметры!$E$17=VIP!$B$1,VIP!L22, IF(Параметры!$E$17=premium!$B$1,premium!L22,IF(Параметры!$E$17=mini!$B$1,mini!L22)))</f>
        <v>17199.267839999993</v>
      </c>
      <c r="M23" s="193">
        <f>IF(Параметры!$E$17=VIP!$B$1,VIP!M22, IF(Параметры!$E$17=premium!$B$1,premium!M22,IF(Параметры!$E$17=mini!$B$1,mini!M22)))</f>
        <v>20639.121407999992</v>
      </c>
      <c r="N23" s="193">
        <f>IF(Параметры!$E$17=VIP!$B$1,VIP!N22, IF(Параметры!$E$17=premium!$B$1,premium!N22,IF(Параметры!$E$17=mini!$B$1,mini!N22)))</f>
        <v>24766.945689599987</v>
      </c>
      <c r="O23" s="193">
        <f>IF(Параметры!$E$17=VIP!$B$1,VIP!O22, IF(Параметры!$E$17=premium!$B$1,premium!O22,IF(Параметры!$E$17=mini!$B$1,mini!O22)))</f>
        <v>29720.334827519986</v>
      </c>
      <c r="P23" s="193">
        <f>IF(Параметры!$E$17=VIP!$B$1,VIP!Q22, IF(Параметры!$E$17=premium!$B$1,premium!Q22,IF(Параметры!$E$17=mini!$B$1,mini!Q22)))</f>
        <v>14000</v>
      </c>
      <c r="Q23" s="193">
        <f>IF(Параметры!$E$17=VIP!$B$1,VIP!R22, IF(Параметры!$E$17=premium!$B$1,premium!R22,IF(Параметры!$E$17=mini!$B$1,mini!R22)))</f>
        <v>21000</v>
      </c>
      <c r="R23" s="193">
        <f>IF(Параметры!$E$17=VIP!$B$1,VIP!S22, IF(Параметры!$E$17=premium!$B$1,premium!S22,IF(Параметры!$E$17=mini!$B$1,mini!S22)))</f>
        <v>31500</v>
      </c>
      <c r="S23" s="193">
        <f>IF(Параметры!$E$17=VIP!$B$1,VIP!T22, IF(Параметры!$E$17=premium!$B$1,premium!T22,IF(Параметры!$E$17=mini!$B$1,mini!T22)))</f>
        <v>47250</v>
      </c>
      <c r="T23" s="193">
        <f>IF(Параметры!$E$17=VIP!$B$1,VIP!U22, IF(Параметры!$E$17=premium!$B$1,premium!U22,IF(Параметры!$E$17=mini!$B$1,mini!U22)))</f>
        <v>70875</v>
      </c>
      <c r="U23" s="193">
        <f>IF(Параметры!$E$17=VIP!$B$1,VIP!V22, IF(Параметры!$E$17=premium!$B$1,premium!V22,IF(Параметры!$E$17=mini!$B$1,mini!V22)))</f>
        <v>106312.5</v>
      </c>
      <c r="V23" s="193">
        <f>IF(Параметры!$E$17=VIP!$B$1,VIP!W22, IF(Параметры!$E$17=premium!$B$1,premium!W22,IF(Параметры!$E$17=mini!$B$1,mini!W22)))</f>
        <v>159468.75</v>
      </c>
      <c r="W23" s="193">
        <f>IF(Параметры!$E$17=VIP!$B$1,VIP!X22, IF(Параметры!$E$17=premium!$B$1,premium!X22,IF(Параметры!$E$17=mini!$B$1,mini!X22)))</f>
        <v>175415.62500000003</v>
      </c>
      <c r="X23" s="193">
        <f>IF(Параметры!$E$17=VIP!$B$1,VIP!Y22, IF(Параметры!$E$17=premium!$B$1,premium!Y22,IF(Параметры!$E$17=mini!$B$1,mini!Y22)))</f>
        <v>192957.18750000003</v>
      </c>
      <c r="Y23" s="193">
        <f>IF(Параметры!$E$17=VIP!$B$1,VIP!Z22, IF(Параметры!$E$17=premium!$B$1,premium!Z22,IF(Параметры!$E$17=mini!$B$1,mini!Z22)))</f>
        <v>212252.90625000006</v>
      </c>
      <c r="Z23" s="193">
        <f>IF(Параметры!$E$17=VIP!$B$1,VIP!AA22, IF(Параметры!$E$17=premium!$B$1,premium!AA22,IF(Параметры!$E$17=mini!$B$1,mini!AA22)))</f>
        <v>233478.19687500008</v>
      </c>
      <c r="AA23" s="193">
        <f>IF(Параметры!$E$17=VIP!$B$1,VIP!AB22, IF(Параметры!$E$17=premium!$B$1,premium!AB22,IF(Параметры!$E$17=mini!$B$1,mini!AB22)))</f>
        <v>256826.01656250012</v>
      </c>
      <c r="AB23" s="200"/>
    </row>
    <row r="24" spans="2:28" s="190" customFormat="1" ht="18" customHeight="1">
      <c r="B24" s="191"/>
      <c r="C24" s="194" t="s">
        <v>126</v>
      </c>
      <c r="D24" s="195">
        <f t="shared" ref="D24:O24" si="4">SUM(D25:D30)</f>
        <v>75500.5</v>
      </c>
      <c r="E24" s="195">
        <f t="shared" si="4"/>
        <v>208069.2</v>
      </c>
      <c r="F24" s="195">
        <f t="shared" si="4"/>
        <v>262570.5</v>
      </c>
      <c r="G24" s="195">
        <f t="shared" si="4"/>
        <v>308329.19999999995</v>
      </c>
      <c r="H24" s="195">
        <f t="shared" si="4"/>
        <v>344855.39999999997</v>
      </c>
      <c r="I24" s="195">
        <f t="shared" si="4"/>
        <v>483035.89500000002</v>
      </c>
      <c r="J24" s="195">
        <f t="shared" si="4"/>
        <v>512767.91774999996</v>
      </c>
      <c r="K24" s="195">
        <f t="shared" si="4"/>
        <v>566948.10723750002</v>
      </c>
      <c r="L24" s="195">
        <f t="shared" si="4"/>
        <v>531448.06791937503</v>
      </c>
      <c r="M24" s="195">
        <f t="shared" si="4"/>
        <v>519545.53769934369</v>
      </c>
      <c r="N24" s="195">
        <f t="shared" si="4"/>
        <v>468563.54624511092</v>
      </c>
      <c r="O24" s="195">
        <f t="shared" si="4"/>
        <v>508396.12155032641</v>
      </c>
      <c r="P24" s="195">
        <f t="shared" ref="P24:AA24" si="5">SUM(P25:P30)</f>
        <v>396580.36148697883</v>
      </c>
      <c r="Q24" s="195">
        <f t="shared" si="5"/>
        <v>577521.37956132775</v>
      </c>
      <c r="R24" s="195">
        <f t="shared" si="5"/>
        <v>701213.94853939419</v>
      </c>
      <c r="S24" s="195">
        <f t="shared" si="5"/>
        <v>901353.39596636384</v>
      </c>
      <c r="T24" s="195">
        <f t="shared" si="5"/>
        <v>1089530.4407646819</v>
      </c>
      <c r="U24" s="195">
        <f t="shared" si="5"/>
        <v>1273265.6003029158</v>
      </c>
      <c r="V24" s="195">
        <f t="shared" si="5"/>
        <v>1441149.6565680616</v>
      </c>
      <c r="W24" s="195">
        <f t="shared" si="5"/>
        <v>1621440.1797714643</v>
      </c>
      <c r="X24" s="195">
        <f t="shared" si="5"/>
        <v>1827048.4788225379</v>
      </c>
      <c r="Y24" s="195">
        <f t="shared" si="5"/>
        <v>1845529.2126874146</v>
      </c>
      <c r="Z24" s="195">
        <f t="shared" si="5"/>
        <v>1362964.0179773488</v>
      </c>
      <c r="AA24" s="195">
        <f t="shared" si="5"/>
        <v>1183152.6963371537</v>
      </c>
      <c r="AB24" s="200"/>
    </row>
    <row r="25" spans="2:28" s="190" customFormat="1" ht="18" customHeight="1" outlineLevel="1">
      <c r="B25" s="191"/>
      <c r="C25" s="192" t="str">
        <f>VIP!C24</f>
        <v>Предоставление газели</v>
      </c>
      <c r="D25" s="196">
        <f>IF(Параметры!$E$17=VIP!$B$1,VIP!D24, IF(Параметры!$E$17=premium!$B$1,premium!D24,IF(Параметры!$E$17=mini!$B$1,mini!D24)))</f>
        <v>57550.5</v>
      </c>
      <c r="E25" s="196">
        <f>IF(Параметры!$E$17=VIP!$B$1,VIP!E24, IF(Параметры!$E$17=premium!$B$1,premium!E24,IF(Параметры!$E$17=mini!$B$1,mini!E24)))</f>
        <v>106369.2</v>
      </c>
      <c r="F25" s="196">
        <f>IF(Параметры!$E$17=VIP!$B$1,VIP!F24, IF(Параметры!$E$17=premium!$B$1,premium!F24,IF(Параметры!$E$17=mini!$B$1,mini!F24)))</f>
        <v>136930.5</v>
      </c>
      <c r="G25" s="196">
        <f>IF(Параметры!$E$17=VIP!$B$1,VIP!G24, IF(Параметры!$E$17=premium!$B$1,premium!G24,IF(Параметры!$E$17=mini!$B$1,mini!G24)))</f>
        <v>177811.19999999998</v>
      </c>
      <c r="H25" s="196">
        <f>IF(Параметры!$E$17=VIP!$B$1,VIP!H24, IF(Параметры!$E$17=premium!$B$1,premium!H24,IF(Параметры!$E$17=mini!$B$1,mini!H24)))</f>
        <v>201228.3</v>
      </c>
      <c r="I25" s="196">
        <f>IF(Параметры!$E$17=VIP!$B$1,VIP!I24, IF(Параметры!$E$17=premium!$B$1,premium!I24,IF(Параметры!$E$17=mini!$B$1,mini!I24)))</f>
        <v>309582</v>
      </c>
      <c r="J25" s="196">
        <f>IF(Параметры!$E$17=VIP!$B$1,VIP!J24, IF(Параметры!$E$17=premium!$B$1,premium!J24,IF(Параметры!$E$17=mini!$B$1,mini!J24)))</f>
        <v>322282.8</v>
      </c>
      <c r="K25" s="196">
        <f>IF(Параметры!$E$17=VIP!$B$1,VIP!K24, IF(Параметры!$E$17=premium!$B$1,premium!K24,IF(Параметры!$E$17=mini!$B$1,mini!K24)))</f>
        <v>367132.5</v>
      </c>
      <c r="L25" s="196">
        <f>IF(Параметры!$E$17=VIP!$B$1,VIP!L24, IF(Параметры!$E$17=premium!$B$1,premium!L24,IF(Параметры!$E$17=mini!$B$1,mini!L24)))</f>
        <v>300850.2</v>
      </c>
      <c r="M25" s="196">
        <f>IF(Параметры!$E$17=VIP!$B$1,VIP!M24, IF(Параметры!$E$17=premium!$B$1,premium!M24,IF(Параметры!$E$17=mini!$B$1,mini!M24)))</f>
        <v>269892</v>
      </c>
      <c r="N25" s="196">
        <f>IF(Параметры!$E$17=VIP!$B$1,VIP!N24, IF(Параметры!$E$17=premium!$B$1,premium!N24,IF(Параметры!$E$17=mini!$B$1,mini!N24)))</f>
        <v>220676.4</v>
      </c>
      <c r="O25" s="196">
        <f>IF(Параметры!$E$17=VIP!$B$1,VIP!O24, IF(Параметры!$E$17=premium!$B$1,premium!O24,IF(Параметры!$E$17=mini!$B$1,mini!O24)))</f>
        <v>244093.5</v>
      </c>
      <c r="P25" s="196">
        <f>IF(Параметры!$E$17=VIP!$B$1,VIP!Q24, IF(Параметры!$E$17=premium!$B$1,premium!Q24,IF(Параметры!$E$17=mini!$B$1,mini!Q24)))</f>
        <v>158760</v>
      </c>
      <c r="Q25" s="196">
        <f>IF(Параметры!$E$17=VIP!$B$1,VIP!R24, IF(Параметры!$E$17=premium!$B$1,premium!R24,IF(Параметры!$E$17=mini!$B$1,mini!R24)))</f>
        <v>317520</v>
      </c>
      <c r="R25" s="196">
        <f>IF(Параметры!$E$17=VIP!$B$1,VIP!S24, IF(Параметры!$E$17=premium!$B$1,premium!S24,IF(Параметры!$E$17=mini!$B$1,mini!S24)))</f>
        <v>396900</v>
      </c>
      <c r="S25" s="196">
        <f>IF(Параметры!$E$17=VIP!$B$1,VIP!T24, IF(Параметры!$E$17=premium!$B$1,premium!T24,IF(Параметры!$E$17=mini!$B$1,mini!T24)))</f>
        <v>555660</v>
      </c>
      <c r="T25" s="196">
        <f>IF(Параметры!$E$17=VIP!$B$1,VIP!U24, IF(Параметры!$E$17=premium!$B$1,premium!U24,IF(Параметры!$E$17=mini!$B$1,mini!U24)))</f>
        <v>777923.99999999988</v>
      </c>
      <c r="U25" s="196">
        <f>IF(Параметры!$E$17=VIP!$B$1,VIP!V24, IF(Параметры!$E$17=premium!$B$1,premium!V24,IF(Параметры!$E$17=mini!$B$1,mini!V24)))</f>
        <v>894612.59999999974</v>
      </c>
      <c r="V25" s="196">
        <f>IF(Параметры!$E$17=VIP!$B$1,VIP!W24, IF(Параметры!$E$17=premium!$B$1,premium!W24,IF(Параметры!$E$17=mini!$B$1,mini!W24)))</f>
        <v>1028804.4899999998</v>
      </c>
      <c r="W25" s="196">
        <f>IF(Параметры!$E$17=VIP!$B$1,VIP!X24, IF(Параметры!$E$17=premium!$B$1,premium!X24,IF(Параметры!$E$17=mini!$B$1,mini!X24)))</f>
        <v>1183125.1634999996</v>
      </c>
      <c r="X25" s="196">
        <f>IF(Параметры!$E$17=VIP!$B$1,VIP!Y24, IF(Параметры!$E$17=premium!$B$1,premium!Y24,IF(Параметры!$E$17=mini!$B$1,mini!Y24)))</f>
        <v>1360593.9380249996</v>
      </c>
      <c r="Y25" s="196">
        <f>IF(Параметры!$E$17=VIP!$B$1,VIP!Z24, IF(Параметры!$E$17=premium!$B$1,premium!Z24,IF(Параметры!$E$17=mini!$B$1,mini!Z24)))</f>
        <v>1428623.6349262495</v>
      </c>
      <c r="Z25" s="196">
        <f>IF(Параметры!$E$17=VIP!$B$1,VIP!AA24, IF(Параметры!$E$17=premium!$B$1,premium!AA24,IF(Параметры!$E$17=mini!$B$1,mini!AA24)))</f>
        <v>952560</v>
      </c>
      <c r="AA25" s="196">
        <f>IF(Параметры!$E$17=VIP!$B$1,VIP!AB24, IF(Параметры!$E$17=premium!$B$1,premium!AB24,IF(Параметры!$E$17=mini!$B$1,mini!AB24)))</f>
        <v>754110</v>
      </c>
      <c r="AB25" s="200"/>
    </row>
    <row r="26" spans="2:28" s="190" customFormat="1" ht="18" customHeight="1" outlineLevel="1">
      <c r="B26" s="191"/>
      <c r="C26" s="192" t="str">
        <f>VIP!C25</f>
        <v>Услуги погрузки</v>
      </c>
      <c r="D26" s="196">
        <f>IF(Параметры!$E$17=VIP!$B$1,VIP!D25, IF(Параметры!$E$17=premium!$B$1,premium!D25,IF(Параметры!$E$17=mini!$B$1,mini!D25)))</f>
        <v>9600</v>
      </c>
      <c r="E26" s="196">
        <f>IF(Параметры!$E$17=VIP!$B$1,VIP!E25, IF(Параметры!$E$17=premium!$B$1,premium!E25,IF(Параметры!$E$17=mini!$B$1,mini!E25)))</f>
        <v>21600</v>
      </c>
      <c r="F26" s="196">
        <f>IF(Параметры!$E$17=VIP!$B$1,VIP!F25, IF(Параметры!$E$17=premium!$B$1,premium!F25,IF(Параметры!$E$17=mini!$B$1,mini!F25)))</f>
        <v>28800</v>
      </c>
      <c r="G26" s="196">
        <f>IF(Параметры!$E$17=VIP!$B$1,VIP!G25, IF(Параметры!$E$17=premium!$B$1,premium!G25,IF(Параметры!$E$17=mini!$B$1,mini!G25)))</f>
        <v>34560</v>
      </c>
      <c r="H26" s="196">
        <f>IF(Параметры!$E$17=VIP!$B$1,VIP!H25, IF(Параметры!$E$17=premium!$B$1,premium!H25,IF(Параметры!$E$17=mini!$B$1,mini!H25)))</f>
        <v>38400</v>
      </c>
      <c r="I26" s="196">
        <f>IF(Параметры!$E$17=VIP!$B$1,VIP!I25, IF(Параметры!$E$17=premium!$B$1,premium!I25,IF(Параметры!$E$17=mini!$B$1,mini!I25)))</f>
        <v>57600</v>
      </c>
      <c r="J26" s="196">
        <f>IF(Параметры!$E$17=VIP!$B$1,VIP!J25, IF(Параметры!$E$17=premium!$B$1,premium!J25,IF(Параметры!$E$17=mini!$B$1,mini!J25)))</f>
        <v>62400</v>
      </c>
      <c r="K26" s="196">
        <f>IF(Параметры!$E$17=VIP!$B$1,VIP!K25, IF(Параметры!$E$17=premium!$B$1,premium!K25,IF(Параметры!$E$17=mini!$B$1,mini!K25)))</f>
        <v>57600</v>
      </c>
      <c r="L26" s="196">
        <f>IF(Параметры!$E$17=VIP!$B$1,VIP!L25, IF(Параметры!$E$17=premium!$B$1,premium!L25,IF(Параметры!$E$17=mini!$B$1,mini!L25)))</f>
        <v>72000</v>
      </c>
      <c r="M26" s="196">
        <f>IF(Параметры!$E$17=VIP!$B$1,VIP!M25, IF(Параметры!$E$17=premium!$B$1,premium!M25,IF(Параметры!$E$17=mini!$B$1,mini!M25)))</f>
        <v>72000</v>
      </c>
      <c r="N26" s="196">
        <f>IF(Параметры!$E$17=VIP!$B$1,VIP!N25, IF(Параметры!$E$17=premium!$B$1,premium!N25,IF(Параметры!$E$17=mini!$B$1,mini!N25)))</f>
        <v>48000</v>
      </c>
      <c r="O26" s="196">
        <f>IF(Параметры!$E$17=VIP!$B$1,VIP!O25, IF(Параметры!$E$17=premium!$B$1,premium!O25,IF(Параметры!$E$17=mini!$B$1,mini!O25)))</f>
        <v>38400</v>
      </c>
      <c r="P26" s="196">
        <f>IF(Параметры!$E$17=VIP!$B$1,VIP!Q25, IF(Параметры!$E$17=premium!$B$1,premium!Q25,IF(Параметры!$E$17=mini!$B$1,mini!Q25)))</f>
        <v>43200</v>
      </c>
      <c r="Q26" s="196">
        <f>IF(Параметры!$E$17=VIP!$B$1,VIP!R25, IF(Параметры!$E$17=premium!$B$1,premium!R25,IF(Параметры!$E$17=mini!$B$1,mini!R25)))</f>
        <v>48000</v>
      </c>
      <c r="R26" s="196">
        <f>IF(Параметры!$E$17=VIP!$B$1,VIP!S25, IF(Параметры!$E$17=premium!$B$1,premium!S25,IF(Параметры!$E$17=mini!$B$1,mini!S25)))</f>
        <v>60000</v>
      </c>
      <c r="S26" s="196">
        <f>IF(Параметры!$E$17=VIP!$B$1,VIP!T25, IF(Параметры!$E$17=premium!$B$1,premium!T25,IF(Параметры!$E$17=mini!$B$1,mini!T25)))</f>
        <v>84000</v>
      </c>
      <c r="T26" s="196">
        <f>IF(Параметры!$E$17=VIP!$B$1,VIP!U25, IF(Параметры!$E$17=premium!$B$1,premium!U25,IF(Параметры!$E$17=mini!$B$1,mini!U25)))</f>
        <v>117599.99999999999</v>
      </c>
      <c r="U26" s="196">
        <f>IF(Параметры!$E$17=VIP!$B$1,VIP!V25, IF(Параметры!$E$17=premium!$B$1,premium!V25,IF(Параметры!$E$17=mini!$B$1,mini!V25)))</f>
        <v>164639.99999999997</v>
      </c>
      <c r="V26" s="196">
        <f>IF(Параметры!$E$17=VIP!$B$1,VIP!W25, IF(Параметры!$E$17=premium!$B$1,premium!W25,IF(Параметры!$E$17=mini!$B$1,mini!W25)))</f>
        <v>172872</v>
      </c>
      <c r="W26" s="196">
        <f>IF(Параметры!$E$17=VIP!$B$1,VIP!X25, IF(Параметры!$E$17=premium!$B$1,premium!X25,IF(Параметры!$E$17=mini!$B$1,mini!X25)))</f>
        <v>181515.59999999998</v>
      </c>
      <c r="X26" s="196">
        <f>IF(Параметры!$E$17=VIP!$B$1,VIP!Y25, IF(Параметры!$E$17=premium!$B$1,premium!Y25,IF(Параметры!$E$17=mini!$B$1,mini!Y25)))</f>
        <v>190591.38</v>
      </c>
      <c r="Y26" s="196">
        <f>IF(Параметры!$E$17=VIP!$B$1,VIP!Z25, IF(Параметры!$E$17=premium!$B$1,premium!Z25,IF(Параметры!$E$17=mini!$B$1,mini!Z25)))</f>
        <v>120000</v>
      </c>
      <c r="Z26" s="196">
        <f>IF(Параметры!$E$17=VIP!$B$1,VIP!AA25, IF(Параметры!$E$17=premium!$B$1,premium!AA25,IF(Параметры!$E$17=mini!$B$1,mini!AA25)))</f>
        <v>96000</v>
      </c>
      <c r="AA26" s="196">
        <f>IF(Параметры!$E$17=VIP!$B$1,VIP!AB25, IF(Параметры!$E$17=premium!$B$1,premium!AB25,IF(Параметры!$E$17=mini!$B$1,mini!AB25)))</f>
        <v>96000</v>
      </c>
      <c r="AB26" s="200"/>
    </row>
    <row r="27" spans="2:28" s="190" customFormat="1" ht="18" customHeight="1" outlineLevel="1">
      <c r="B27" s="191"/>
      <c r="C27" s="192" t="str">
        <f>VIP!C26</f>
        <v>Выручка от эвакуаторов</v>
      </c>
      <c r="D27" s="196">
        <f>IF(Параметры!$E$17=VIP!$B$1,VIP!D26, IF(Параметры!$E$17=premium!$B$1,premium!D26,IF(Параметры!$E$17=mini!$B$1,mini!D26)))</f>
        <v>3600</v>
      </c>
      <c r="E27" s="196">
        <f>IF(Параметры!$E$17=VIP!$B$1,VIP!E26, IF(Параметры!$E$17=premium!$B$1,premium!E26,IF(Параметры!$E$17=mini!$B$1,mini!E26)))</f>
        <v>14400</v>
      </c>
      <c r="F27" s="196">
        <f>IF(Параметры!$E$17=VIP!$B$1,VIP!F26, IF(Параметры!$E$17=premium!$B$1,premium!F26,IF(Параметры!$E$17=mini!$B$1,mini!F26)))</f>
        <v>27000</v>
      </c>
      <c r="G27" s="196">
        <f>IF(Параметры!$E$17=VIP!$B$1,VIP!G26, IF(Параметры!$E$17=premium!$B$1,premium!G26,IF(Параметры!$E$17=mini!$B$1,mini!G26)))</f>
        <v>21600</v>
      </c>
      <c r="H27" s="196">
        <f>IF(Параметры!$E$17=VIP!$B$1,VIP!H26, IF(Параметры!$E$17=premium!$B$1,premium!H26,IF(Параметры!$E$17=mini!$B$1,mini!H26)))</f>
        <v>25919.999999999996</v>
      </c>
      <c r="I27" s="196">
        <f>IF(Параметры!$E$17=VIP!$B$1,VIP!I26, IF(Параметры!$E$17=premium!$B$1,premium!I26,IF(Параметры!$E$17=mini!$B$1,mini!I26)))</f>
        <v>31103.999999999993</v>
      </c>
      <c r="J27" s="196">
        <f>IF(Параметры!$E$17=VIP!$B$1,VIP!J26, IF(Параметры!$E$17=premium!$B$1,premium!J26,IF(Параметры!$E$17=mini!$B$1,mini!J26)))</f>
        <v>37324.799999999996</v>
      </c>
      <c r="K27" s="196">
        <f>IF(Параметры!$E$17=VIP!$B$1,VIP!K26, IF(Параметры!$E$17=premium!$B$1,premium!K26,IF(Параметры!$E$17=mini!$B$1,mini!K26)))</f>
        <v>44789.759999999995</v>
      </c>
      <c r="L27" s="196">
        <f>IF(Параметры!$E$17=VIP!$B$1,VIP!L26, IF(Параметры!$E$17=premium!$B$1,premium!L26,IF(Параметры!$E$17=mini!$B$1,mini!L26)))</f>
        <v>53747.711999999985</v>
      </c>
      <c r="M27" s="196">
        <f>IF(Параметры!$E$17=VIP!$B$1,VIP!M26, IF(Параметры!$E$17=premium!$B$1,premium!M26,IF(Параметры!$E$17=mini!$B$1,mini!M26)))</f>
        <v>64497.254399999969</v>
      </c>
      <c r="N27" s="196">
        <f>IF(Параметры!$E$17=VIP!$B$1,VIP!N26, IF(Параметры!$E$17=premium!$B$1,premium!N26,IF(Параметры!$E$17=mini!$B$1,mini!N26)))</f>
        <v>77396.705279999966</v>
      </c>
      <c r="O27" s="196">
        <f>IF(Параметры!$E$17=VIP!$B$1,VIP!O26, IF(Параметры!$E$17=premium!$B$1,premium!O26,IF(Параметры!$E$17=mini!$B$1,mini!O26)))</f>
        <v>92876.046335999956</v>
      </c>
      <c r="P27" s="196">
        <f>IF(Параметры!$E$17=VIP!$B$1,VIP!Q26, IF(Параметры!$E$17=premium!$B$1,premium!Q26,IF(Параметры!$E$17=mini!$B$1,mini!Q26)))</f>
        <v>81000</v>
      </c>
      <c r="Q27" s="196">
        <f>IF(Параметры!$E$17=VIP!$B$1,VIP!R26, IF(Параметры!$E$17=premium!$B$1,premium!R26,IF(Параметры!$E$17=mini!$B$1,mini!R26)))</f>
        <v>90000</v>
      </c>
      <c r="R27" s="196">
        <f>IF(Параметры!$E$17=VIP!$B$1,VIP!S26, IF(Параметры!$E$17=premium!$B$1,premium!S26,IF(Параметры!$E$17=mini!$B$1,mini!S26)))</f>
        <v>112500</v>
      </c>
      <c r="S27" s="196">
        <f>IF(Параметры!$E$17=VIP!$B$1,VIP!T26, IF(Параметры!$E$17=premium!$B$1,premium!T26,IF(Параметры!$E$17=mini!$B$1,mini!T26)))</f>
        <v>118125</v>
      </c>
      <c r="T27" s="196">
        <f>IF(Параметры!$E$17=VIP!$B$1,VIP!U26, IF(Параметры!$E$17=premium!$B$1,premium!U26,IF(Параметры!$E$17=mini!$B$1,mini!U26)))</f>
        <v>36000</v>
      </c>
      <c r="U27" s="196">
        <f>IF(Параметры!$E$17=VIP!$B$1,VIP!V26, IF(Параметры!$E$17=premium!$B$1,premium!V26,IF(Параметры!$E$17=mini!$B$1,mini!V26)))</f>
        <v>37800</v>
      </c>
      <c r="V27" s="196">
        <f>IF(Параметры!$E$17=VIP!$B$1,VIP!W26, IF(Параметры!$E$17=premium!$B$1,premium!W26,IF(Параметры!$E$17=mini!$B$1,mini!W26)))</f>
        <v>39690</v>
      </c>
      <c r="W27" s="196">
        <f>IF(Параметры!$E$17=VIP!$B$1,VIP!X26, IF(Параметры!$E$17=premium!$B$1,premium!X26,IF(Параметры!$E$17=mini!$B$1,mini!X26)))</f>
        <v>41674.500000000007</v>
      </c>
      <c r="X27" s="196">
        <f>IF(Параметры!$E$17=VIP!$B$1,VIP!Y26, IF(Параметры!$E$17=premium!$B$1,premium!Y26,IF(Параметры!$E$17=mini!$B$1,mini!Y26)))</f>
        <v>43758.225000000006</v>
      </c>
      <c r="Y27" s="196">
        <f>IF(Параметры!$E$17=VIP!$B$1,VIP!Z26, IF(Параметры!$E$17=premium!$B$1,premium!Z26,IF(Параметры!$E$17=mini!$B$1,mini!Z26)))</f>
        <v>45946.13625000001</v>
      </c>
      <c r="Z27" s="196">
        <f>IF(Параметры!$E$17=VIP!$B$1,VIP!AA26, IF(Параметры!$E$17=premium!$B$1,premium!AA26,IF(Параметры!$E$17=mini!$B$1,mini!AA26)))</f>
        <v>48243.443062500017</v>
      </c>
      <c r="AA27" s="196">
        <f>IF(Параметры!$E$17=VIP!$B$1,VIP!AB26, IF(Параметры!$E$17=premium!$B$1,premium!AB26,IF(Параметры!$E$17=mini!$B$1,mini!AB26)))</f>
        <v>50655.61521562501</v>
      </c>
      <c r="AB27" s="200"/>
    </row>
    <row r="28" spans="2:28" s="190" customFormat="1" ht="18" customHeight="1" outlineLevel="1">
      <c r="B28" s="191"/>
      <c r="C28" s="192" t="str">
        <f>VIP!C27</f>
        <v>Выручка от спецтехники</v>
      </c>
      <c r="D28" s="196">
        <f>IF(Параметры!$E$17=VIP!$B$1,VIP!D27, IF(Параметры!$E$17=premium!$B$1,premium!D27,IF(Параметры!$E$17=mini!$B$1,mini!D27)))</f>
        <v>3750</v>
      </c>
      <c r="E28" s="196">
        <f>IF(Параметры!$E$17=VIP!$B$1,VIP!E27, IF(Параметры!$E$17=premium!$B$1,premium!E27,IF(Параметры!$E$17=mini!$B$1,mini!E27)))</f>
        <v>4500</v>
      </c>
      <c r="F28" s="196">
        <f>IF(Параметры!$E$17=VIP!$B$1,VIP!F27, IF(Параметры!$E$17=premium!$B$1,premium!F27,IF(Параметры!$E$17=mini!$B$1,mini!F27)))</f>
        <v>5400</v>
      </c>
      <c r="G28" s="196">
        <f>IF(Параметры!$E$17=VIP!$B$1,VIP!G27, IF(Параметры!$E$17=premium!$B$1,premium!G27,IF(Параметры!$E$17=mini!$B$1,mini!G27)))</f>
        <v>6479.9999999999991</v>
      </c>
      <c r="H28" s="196">
        <f>IF(Параметры!$E$17=VIP!$B$1,VIP!H27, IF(Параметры!$E$17=premium!$B$1,premium!H27,IF(Параметры!$E$17=mini!$B$1,mini!H27)))</f>
        <v>7775.9999999999982</v>
      </c>
      <c r="I28" s="196">
        <f>IF(Параметры!$E$17=VIP!$B$1,VIP!I27, IF(Параметры!$E$17=premium!$B$1,premium!I27,IF(Параметры!$E$17=mini!$B$1,mini!I27)))</f>
        <v>9331.1999999999971</v>
      </c>
      <c r="J28" s="196">
        <f>IF(Параметры!$E$17=VIP!$B$1,VIP!J27, IF(Параметры!$E$17=premium!$B$1,premium!J27,IF(Параметры!$E$17=mini!$B$1,mini!J27)))</f>
        <v>11197.439999999997</v>
      </c>
      <c r="K28" s="196">
        <f>IF(Параметры!$E$17=VIP!$B$1,VIP!K27, IF(Параметры!$E$17=premium!$B$1,premium!K27,IF(Параметры!$E$17=mini!$B$1,mini!K27)))</f>
        <v>13436.927999999996</v>
      </c>
      <c r="L28" s="196">
        <f>IF(Параметры!$E$17=VIP!$B$1,VIP!L27, IF(Параметры!$E$17=premium!$B$1,premium!L27,IF(Параметры!$E$17=mini!$B$1,mini!L27)))</f>
        <v>16124.313599999992</v>
      </c>
      <c r="M28" s="196">
        <f>IF(Параметры!$E$17=VIP!$B$1,VIP!M27, IF(Параметры!$E$17=premium!$B$1,premium!M27,IF(Параметры!$E$17=mini!$B$1,mini!M27)))</f>
        <v>19349.176319999991</v>
      </c>
      <c r="N28" s="196">
        <f>IF(Параметры!$E$17=VIP!$B$1,VIP!N27, IF(Параметры!$E$17=premium!$B$1,premium!N27,IF(Параметры!$E$17=mini!$B$1,mini!N27)))</f>
        <v>23219.011583999989</v>
      </c>
      <c r="O28" s="196">
        <f>IF(Параметры!$E$17=VIP!$B$1,VIP!O27, IF(Параметры!$E$17=premium!$B$1,premium!O27,IF(Параметры!$E$17=mini!$B$1,mini!O27)))</f>
        <v>27862.813900799985</v>
      </c>
      <c r="P28" s="196">
        <f>IF(Параметры!$E$17=VIP!$B$1,VIP!Q27, IF(Параметры!$E$17=premium!$B$1,premium!Q27,IF(Параметры!$E$17=mini!$B$1,mini!Q27)))</f>
        <v>7500</v>
      </c>
      <c r="Q28" s="196">
        <f>IF(Параметры!$E$17=VIP!$B$1,VIP!R27, IF(Параметры!$E$17=premium!$B$1,premium!R27,IF(Параметры!$E$17=mini!$B$1,mini!R27)))</f>
        <v>9000</v>
      </c>
      <c r="R28" s="196">
        <f>IF(Параметры!$E$17=VIP!$B$1,VIP!S27, IF(Параметры!$E$17=premium!$B$1,premium!S27,IF(Параметры!$E$17=mini!$B$1,mini!S27)))</f>
        <v>10800</v>
      </c>
      <c r="S28" s="196">
        <f>IF(Параметры!$E$17=VIP!$B$1,VIP!T27, IF(Параметры!$E$17=premium!$B$1,premium!T27,IF(Параметры!$E$17=mini!$B$1,mini!T27)))</f>
        <v>12959.999999999998</v>
      </c>
      <c r="T28" s="196">
        <f>IF(Параметры!$E$17=VIP!$B$1,VIP!U27, IF(Параметры!$E$17=premium!$B$1,premium!U27,IF(Параметры!$E$17=mini!$B$1,mini!U27)))</f>
        <v>15551.999999999996</v>
      </c>
      <c r="U28" s="196">
        <f>IF(Параметры!$E$17=VIP!$B$1,VIP!V27, IF(Параметры!$E$17=premium!$B$1,premium!V27,IF(Параметры!$E$17=mini!$B$1,mini!V27)))</f>
        <v>18662.399999999994</v>
      </c>
      <c r="V28" s="196">
        <f>IF(Параметры!$E$17=VIP!$B$1,VIP!W27, IF(Параметры!$E$17=premium!$B$1,premium!W27,IF(Параметры!$E$17=mini!$B$1,mini!W27)))</f>
        <v>22394.879999999994</v>
      </c>
      <c r="W28" s="196">
        <f>IF(Параметры!$E$17=VIP!$B$1,VIP!X27, IF(Параметры!$E$17=premium!$B$1,premium!X27,IF(Параметры!$E$17=mini!$B$1,mini!X27)))</f>
        <v>26873.855999999992</v>
      </c>
      <c r="X28" s="196">
        <f>IF(Параметры!$E$17=VIP!$B$1,VIP!Y27, IF(Параметры!$E$17=premium!$B$1,premium!Y27,IF(Параметры!$E$17=mini!$B$1,mini!Y27)))</f>
        <v>32248.627199999984</v>
      </c>
      <c r="Y28" s="196">
        <f>IF(Параметры!$E$17=VIP!$B$1,VIP!Z27, IF(Параметры!$E$17=premium!$B$1,premium!Z27,IF(Параметры!$E$17=mini!$B$1,mini!Z27)))</f>
        <v>38698.352639999983</v>
      </c>
      <c r="Z28" s="196">
        <f>IF(Параметры!$E$17=VIP!$B$1,VIP!AA27, IF(Параметры!$E$17=premium!$B$1,premium!AA27,IF(Параметры!$E$17=mini!$B$1,mini!AA27)))</f>
        <v>40633.27027199998</v>
      </c>
      <c r="AA28" s="196">
        <f>IF(Параметры!$E$17=VIP!$B$1,VIP!AB27, IF(Параметры!$E$17=premium!$B$1,premium!AB27,IF(Параметры!$E$17=mini!$B$1,mini!AB27)))</f>
        <v>42664.933785599984</v>
      </c>
      <c r="AB28" s="200"/>
    </row>
    <row r="29" spans="2:28" s="190" customFormat="1" ht="18" customHeight="1" outlineLevel="1">
      <c r="B29" s="191"/>
      <c r="C29" s="192" t="str">
        <f>VIP!C28</f>
        <v>Выручка от курьеров</v>
      </c>
      <c r="D29" s="196">
        <f>IF(Параметры!$E$17=VIP!$B$1,VIP!D28, IF(Параметры!$E$17=premium!$B$1,premium!D28,IF(Параметры!$E$17=mini!$B$1,mini!D28)))</f>
        <v>1000</v>
      </c>
      <c r="E29" s="196">
        <f>IF(Параметры!$E$17=VIP!$B$1,VIP!E28, IF(Параметры!$E$17=premium!$B$1,premium!E28,IF(Параметры!$E$17=mini!$B$1,mini!E28)))</f>
        <v>1200</v>
      </c>
      <c r="F29" s="196">
        <f>IF(Параметры!$E$17=VIP!$B$1,VIP!F28, IF(Параметры!$E$17=premium!$B$1,premium!F28,IF(Параметры!$E$17=mini!$B$1,mini!F28)))</f>
        <v>1439.9999999999998</v>
      </c>
      <c r="G29" s="196">
        <f>IF(Параметры!$E$17=VIP!$B$1,VIP!G28, IF(Параметры!$E$17=premium!$B$1,premium!G28,IF(Параметры!$E$17=mini!$B$1,mini!G28)))</f>
        <v>1727.9999999999998</v>
      </c>
      <c r="H29" s="196">
        <f>IF(Параметры!$E$17=VIP!$B$1,VIP!H28, IF(Параметры!$E$17=premium!$B$1,premium!H28,IF(Параметры!$E$17=mini!$B$1,mini!H28)))</f>
        <v>2073.6</v>
      </c>
      <c r="I29" s="196">
        <f>IF(Параметры!$E$17=VIP!$B$1,VIP!I28, IF(Параметры!$E$17=premium!$B$1,premium!I28,IF(Параметры!$E$17=mini!$B$1,mini!I28)))</f>
        <v>2488.3199999999997</v>
      </c>
      <c r="J29" s="196">
        <f>IF(Параметры!$E$17=VIP!$B$1,VIP!J28, IF(Параметры!$E$17=premium!$B$1,premium!J28,IF(Параметры!$E$17=mini!$B$1,mini!J28)))</f>
        <v>2985.983999999999</v>
      </c>
      <c r="K29" s="196">
        <f>IF(Параметры!$E$17=VIP!$B$1,VIP!K28, IF(Параметры!$E$17=premium!$B$1,premium!K28,IF(Параметры!$E$17=mini!$B$1,mini!K28)))</f>
        <v>3583.1807999999987</v>
      </c>
      <c r="L29" s="196">
        <f>IF(Параметры!$E$17=VIP!$B$1,VIP!L28, IF(Параметры!$E$17=premium!$B$1,premium!L28,IF(Параметры!$E$17=mini!$B$1,mini!L28)))</f>
        <v>4299.8169599999983</v>
      </c>
      <c r="M29" s="196">
        <f>IF(Параметры!$E$17=VIP!$B$1,VIP!M28, IF(Параметры!$E$17=premium!$B$1,premium!M28,IF(Параметры!$E$17=mini!$B$1,mini!M28)))</f>
        <v>5159.7803519999979</v>
      </c>
      <c r="N29" s="196">
        <f>IF(Параметры!$E$17=VIP!$B$1,VIP!N28, IF(Параметры!$E$17=premium!$B$1,premium!N28,IF(Параметры!$E$17=mini!$B$1,mini!N28)))</f>
        <v>6191.7364223999966</v>
      </c>
      <c r="O29" s="196">
        <f>IF(Параметры!$E$17=VIP!$B$1,VIP!O28, IF(Параметры!$E$17=premium!$B$1,premium!O28,IF(Параметры!$E$17=mini!$B$1,mini!O28)))</f>
        <v>7430.0837068799965</v>
      </c>
      <c r="P29" s="196">
        <f>IF(Параметры!$E$17=VIP!$B$1,VIP!Q28, IF(Параметры!$E$17=premium!$B$1,premium!Q28,IF(Параметры!$E$17=mini!$B$1,mini!Q28)))</f>
        <v>3500</v>
      </c>
      <c r="Q29" s="196">
        <f>IF(Параметры!$E$17=VIP!$B$1,VIP!R28, IF(Параметры!$E$17=premium!$B$1,premium!R28,IF(Параметры!$E$17=mini!$B$1,mini!R28)))</f>
        <v>5250</v>
      </c>
      <c r="R29" s="196">
        <f>IF(Параметры!$E$17=VIP!$B$1,VIP!S28, IF(Параметры!$E$17=premium!$B$1,premium!S28,IF(Параметры!$E$17=mini!$B$1,mini!S28)))</f>
        <v>7875</v>
      </c>
      <c r="S29" s="196">
        <f>IF(Параметры!$E$17=VIP!$B$1,VIP!T28, IF(Параметры!$E$17=premium!$B$1,premium!T28,IF(Параметры!$E$17=mini!$B$1,mini!T28)))</f>
        <v>11812.5</v>
      </c>
      <c r="T29" s="196">
        <f>IF(Параметры!$E$17=VIP!$B$1,VIP!U28, IF(Параметры!$E$17=premium!$B$1,premium!U28,IF(Параметры!$E$17=mini!$B$1,mini!U28)))</f>
        <v>17718.75</v>
      </c>
      <c r="U29" s="196">
        <f>IF(Параметры!$E$17=VIP!$B$1,VIP!V28, IF(Параметры!$E$17=premium!$B$1,premium!V28,IF(Параметры!$E$17=mini!$B$1,mini!V28)))</f>
        <v>26578.125</v>
      </c>
      <c r="V29" s="196">
        <f>IF(Параметры!$E$17=VIP!$B$1,VIP!W28, IF(Параметры!$E$17=premium!$B$1,premium!W28,IF(Параметры!$E$17=mini!$B$1,mini!W28)))</f>
        <v>39867.1875</v>
      </c>
      <c r="W29" s="196">
        <f>IF(Параметры!$E$17=VIP!$B$1,VIP!X28, IF(Параметры!$E$17=premium!$B$1,premium!X28,IF(Параметры!$E$17=mini!$B$1,mini!X28)))</f>
        <v>43853.906250000007</v>
      </c>
      <c r="X29" s="196">
        <f>IF(Параметры!$E$17=VIP!$B$1,VIP!Y28, IF(Параметры!$E$17=premium!$B$1,premium!Y28,IF(Параметры!$E$17=mini!$B$1,mini!Y28)))</f>
        <v>48239.296875000007</v>
      </c>
      <c r="Y29" s="196">
        <f>IF(Параметры!$E$17=VIP!$B$1,VIP!Z28, IF(Параметры!$E$17=premium!$B$1,premium!Z28,IF(Параметры!$E$17=mini!$B$1,mini!Z28)))</f>
        <v>53063.226562500015</v>
      </c>
      <c r="Z29" s="196">
        <f>IF(Параметры!$E$17=VIP!$B$1,VIP!AA28, IF(Параметры!$E$17=premium!$B$1,premium!AA28,IF(Параметры!$E$17=mini!$B$1,mini!AA28)))</f>
        <v>58369.54921875002</v>
      </c>
      <c r="AA29" s="196">
        <f>IF(Параметры!$E$17=VIP!$B$1,VIP!AB28, IF(Параметры!$E$17=premium!$B$1,premium!AB28,IF(Параметры!$E$17=mini!$B$1,mini!AB28)))</f>
        <v>64206.504140625031</v>
      </c>
      <c r="AB29" s="200"/>
    </row>
    <row r="30" spans="2:28" s="190" customFormat="1" ht="18" customHeight="1" outlineLevel="1">
      <c r="B30" s="191"/>
      <c r="C30" s="192" t="str">
        <f>VIP!C29</f>
        <v>Диспетчеризация грузовых таксопарков</v>
      </c>
      <c r="D30" s="196">
        <f>IF(Параметры!$E$17=VIP!$B$1,VIP!D29, IF(Параметры!$E$17=premium!$B$1,premium!D29,IF(Параметры!$E$17=mini!$B$1,mini!D29)))</f>
        <v>0</v>
      </c>
      <c r="E30" s="196">
        <f>IF(Параметры!$E$17=VIP!$B$1,VIP!E29, IF(Параметры!$E$17=premium!$B$1,premium!E29,IF(Параметры!$E$17=mini!$B$1,mini!E29)))</f>
        <v>60000</v>
      </c>
      <c r="F30" s="196">
        <f>IF(Параметры!$E$17=VIP!$B$1,VIP!F29, IF(Параметры!$E$17=premium!$B$1,premium!F29,IF(Параметры!$E$17=mini!$B$1,mini!F29)))</f>
        <v>63000</v>
      </c>
      <c r="G30" s="196">
        <f>IF(Параметры!$E$17=VIP!$B$1,VIP!G29, IF(Параметры!$E$17=premium!$B$1,premium!G29,IF(Параметры!$E$17=mini!$B$1,mini!G29)))</f>
        <v>66150</v>
      </c>
      <c r="H30" s="196">
        <f>IF(Параметры!$E$17=VIP!$B$1,VIP!H29, IF(Параметры!$E$17=premium!$B$1,premium!H29,IF(Параметры!$E$17=mini!$B$1,mini!H29)))</f>
        <v>69457.5</v>
      </c>
      <c r="I30" s="196">
        <f>IF(Параметры!$E$17=VIP!$B$1,VIP!I29, IF(Параметры!$E$17=premium!$B$1,premium!I29,IF(Параметры!$E$17=mini!$B$1,mini!I29)))</f>
        <v>72930.375</v>
      </c>
      <c r="J30" s="196">
        <f>IF(Параметры!$E$17=VIP!$B$1,VIP!J29, IF(Параметры!$E$17=premium!$B$1,premium!J29,IF(Параметры!$E$17=mini!$B$1,mini!J29)))</f>
        <v>76576.893750000003</v>
      </c>
      <c r="K30" s="196">
        <f>IF(Параметры!$E$17=VIP!$B$1,VIP!K29, IF(Параметры!$E$17=premium!$B$1,premium!K29,IF(Параметры!$E$17=mini!$B$1,mini!K29)))</f>
        <v>80405.738437500011</v>
      </c>
      <c r="L30" s="196">
        <f>IF(Параметры!$E$17=VIP!$B$1,VIP!L29, IF(Параметры!$E$17=premium!$B$1,premium!L29,IF(Параметры!$E$17=mini!$B$1,mini!L29)))</f>
        <v>84426.025359375009</v>
      </c>
      <c r="M30" s="196">
        <f>IF(Параметры!$E$17=VIP!$B$1,VIP!M29, IF(Параметры!$E$17=premium!$B$1,premium!M29,IF(Параметры!$E$17=mini!$B$1,mini!M29)))</f>
        <v>88647.326627343762</v>
      </c>
      <c r="N30" s="196">
        <f>IF(Параметры!$E$17=VIP!$B$1,VIP!N29, IF(Параметры!$E$17=premium!$B$1,premium!N29,IF(Параметры!$E$17=mini!$B$1,mini!N29)))</f>
        <v>93079.692958710948</v>
      </c>
      <c r="O30" s="196">
        <f>IF(Параметры!$E$17=VIP!$B$1,VIP!O29, IF(Параметры!$E$17=premium!$B$1,premium!O29,IF(Параметры!$E$17=mini!$B$1,mini!O29)))</f>
        <v>97733.677606646495</v>
      </c>
      <c r="P30" s="196">
        <f>IF(Параметры!$E$17=VIP!$B$1,VIP!Q29, IF(Параметры!$E$17=premium!$B$1,premium!Q29,IF(Параметры!$E$17=mini!$B$1,mini!Q29)))</f>
        <v>102620.36148697883</v>
      </c>
      <c r="Q30" s="196">
        <f>IF(Параметры!$E$17=VIP!$B$1,VIP!R29, IF(Параметры!$E$17=premium!$B$1,premium!R29,IF(Параметры!$E$17=mini!$B$1,mini!R29)))</f>
        <v>107751.37956132778</v>
      </c>
      <c r="R30" s="196">
        <f>IF(Параметры!$E$17=VIP!$B$1,VIP!S29, IF(Параметры!$E$17=premium!$B$1,premium!S29,IF(Параметры!$E$17=mini!$B$1,mini!S29)))</f>
        <v>113138.94853939417</v>
      </c>
      <c r="S30" s="196">
        <f>IF(Параметры!$E$17=VIP!$B$1,VIP!T29, IF(Параметры!$E$17=premium!$B$1,premium!T29,IF(Параметры!$E$17=mini!$B$1,mini!T29)))</f>
        <v>118795.89596636388</v>
      </c>
      <c r="T30" s="196">
        <f>IF(Параметры!$E$17=VIP!$B$1,VIP!U29, IF(Параметры!$E$17=premium!$B$1,premium!U29,IF(Параметры!$E$17=mini!$B$1,mini!U29)))</f>
        <v>124735.69076468208</v>
      </c>
      <c r="U30" s="196">
        <f>IF(Параметры!$E$17=VIP!$B$1,VIP!V29, IF(Параметры!$E$17=premium!$B$1,premium!V29,IF(Параметры!$E$17=mini!$B$1,mini!V29)))</f>
        <v>130972.47530291618</v>
      </c>
      <c r="V30" s="196">
        <f>IF(Параметры!$E$17=VIP!$B$1,VIP!W29, IF(Параметры!$E$17=premium!$B$1,premium!W29,IF(Параметры!$E$17=mini!$B$1,mini!W29)))</f>
        <v>137521.099068062</v>
      </c>
      <c r="W30" s="196">
        <f>IF(Параметры!$E$17=VIP!$B$1,VIP!X29, IF(Параметры!$E$17=premium!$B$1,premium!X29,IF(Параметры!$E$17=mini!$B$1,mini!X29)))</f>
        <v>144397.1540214651</v>
      </c>
      <c r="X30" s="196">
        <f>IF(Параметры!$E$17=VIP!$B$1,VIP!Y29, IF(Параметры!$E$17=premium!$B$1,premium!Y29,IF(Параметры!$E$17=mini!$B$1,mini!Y29)))</f>
        <v>151617.01172253836</v>
      </c>
      <c r="Y30" s="196">
        <f>IF(Параметры!$E$17=VIP!$B$1,VIP!Z29, IF(Параметры!$E$17=premium!$B$1,premium!Z29,IF(Параметры!$E$17=mini!$B$1,mini!Z29)))</f>
        <v>159197.8623086653</v>
      </c>
      <c r="Z30" s="196">
        <f>IF(Параметры!$E$17=VIP!$B$1,VIP!AA29, IF(Параметры!$E$17=premium!$B$1,premium!AA29,IF(Параметры!$E$17=mini!$B$1,mini!AA29)))</f>
        <v>167157.75542409858</v>
      </c>
      <c r="AA30" s="196">
        <f>IF(Параметры!$E$17=VIP!$B$1,VIP!AB29, IF(Параметры!$E$17=premium!$B$1,premium!AB29,IF(Параметры!$E$17=mini!$B$1,mini!AB29)))</f>
        <v>175515.64319530351</v>
      </c>
      <c r="AB30" s="200"/>
    </row>
    <row r="31" spans="2:28" ht="21.75" customHeight="1" thickBot="1">
      <c r="B31" s="142"/>
      <c r="C31" s="201"/>
      <c r="D31" s="202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146"/>
    </row>
    <row r="32" spans="2:28" ht="30" customHeight="1"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</row>
    <row r="33" spans="2:27" ht="21.75" hidden="1" customHeight="1"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</row>
    <row r="34" spans="2:27" ht="21.75" hidden="1" customHeight="1"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</row>
    <row r="35" spans="2:27" ht="21.75" hidden="1" customHeight="1"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</row>
    <row r="36" spans="2:27" ht="21.75" hidden="1" customHeight="1">
      <c r="G36" s="204"/>
    </row>
    <row r="37" spans="2:27" s="136" customFormat="1" ht="21.75" hidden="1" customHeight="1">
      <c r="B37" s="130"/>
      <c r="C37" s="130"/>
      <c r="D37" s="130"/>
      <c r="E37" s="130"/>
      <c r="F37" s="130"/>
      <c r="G37" s="204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</row>
    <row r="38" spans="2:27" ht="21.75" hidden="1" customHeight="1">
      <c r="G38" s="204"/>
    </row>
    <row r="39" spans="2:27" ht="21.75" hidden="1" customHeight="1">
      <c r="G39" s="204"/>
    </row>
    <row r="40" spans="2:27" ht="21.75" hidden="1" customHeight="1">
      <c r="G40" s="205"/>
    </row>
    <row r="41" spans="2:27" ht="21.75" hidden="1" customHeight="1"/>
    <row r="42" spans="2:27" ht="21.75" hidden="1" customHeight="1"/>
    <row r="43" spans="2:27" ht="21.75" hidden="1" customHeight="1"/>
    <row r="44" spans="2:27" ht="21.75" hidden="1" customHeight="1"/>
    <row r="45" spans="2:27" ht="21.75" hidden="1" customHeight="1"/>
    <row r="46" spans="2:27" ht="21.75" hidden="1" customHeight="1"/>
    <row r="47" spans="2:27" ht="21.75" hidden="1" customHeight="1"/>
    <row r="48" spans="2:27" ht="21.75" hidden="1" customHeight="1"/>
    <row r="49" ht="21.75" hidden="1" customHeight="1"/>
    <row r="50" ht="21.75" hidden="1" customHeight="1"/>
    <row r="51" ht="21.75" hidden="1" customHeight="1"/>
    <row r="52" ht="21.75" hidden="1" customHeight="1"/>
    <row r="53" ht="21.75" hidden="1" customHeight="1"/>
    <row r="54" ht="21.75" hidden="1" customHeight="1"/>
    <row r="55" ht="21.75" hidden="1" customHeight="1"/>
    <row r="56" ht="21.75" hidden="1" customHeight="1"/>
    <row r="57" ht="21.75" hidden="1" customHeight="1"/>
    <row r="58" ht="21.75" hidden="1" customHeight="1"/>
    <row r="59" ht="21.75" hidden="1" customHeight="1"/>
    <row r="60" ht="21.75" hidden="1" customHeight="1"/>
    <row r="61" ht="21.75" hidden="1" customHeight="1"/>
    <row r="62" ht="21.75" hidden="1" customHeight="1"/>
    <row r="63" ht="21.75" hidden="1" customHeight="1"/>
    <row r="64" ht="21.75" hidden="1" customHeight="1"/>
    <row r="65" ht="21.75" hidden="1" customHeight="1"/>
    <row r="66" ht="21.75" hidden="1" customHeight="1"/>
    <row r="67" ht="21.75" hidden="1" customHeight="1"/>
    <row r="68" ht="21.75" hidden="1" customHeight="1"/>
    <row r="69" ht="21.75" hidden="1" customHeight="1"/>
    <row r="70" ht="21.75" hidden="1" customHeight="1"/>
    <row r="71" ht="21.75" hidden="1" customHeight="1"/>
    <row r="72" ht="21.75" hidden="1" customHeight="1"/>
    <row r="73" ht="21.75" hidden="1" customHeight="1"/>
    <row r="74" ht="21.75" hidden="1" customHeight="1"/>
    <row r="75" ht="21.75" hidden="1" customHeight="1"/>
    <row r="76" ht="21.75" hidden="1" customHeight="1"/>
    <row r="77" ht="21.75" hidden="1" customHeight="1"/>
    <row r="78" ht="21.75" hidden="1" customHeight="1"/>
    <row r="79" ht="21.75" hidden="1" customHeight="1"/>
    <row r="80" ht="21.75" hidden="1" customHeight="1"/>
    <row r="81" ht="21.75" hidden="1" customHeight="1"/>
    <row r="82" ht="21.75" hidden="1" customHeight="1"/>
    <row r="83" ht="21.75" hidden="1" customHeight="1"/>
    <row r="84" ht="21.75" hidden="1" customHeight="1"/>
    <row r="85" ht="21.75" hidden="1" customHeight="1"/>
    <row r="86" ht="21.75" hidden="1" customHeight="1"/>
    <row r="87" ht="21.75" hidden="1" customHeight="1"/>
    <row r="88" ht="21.75" hidden="1" customHeight="1"/>
    <row r="89" ht="21.75" hidden="1" customHeight="1"/>
    <row r="90" ht="21.75" hidden="1" customHeight="1"/>
    <row r="91" ht="21.75" hidden="1" customHeight="1"/>
    <row r="92" ht="21.75" hidden="1" customHeight="1"/>
    <row r="93" ht="21.75" hidden="1" customHeight="1"/>
    <row r="94" ht="21.75" hidden="1" customHeight="1"/>
    <row r="95" ht="21.75" hidden="1" customHeight="1"/>
    <row r="96" ht="21.75" hidden="1" customHeight="1"/>
    <row r="97" ht="21.75" hidden="1" customHeight="1"/>
    <row r="98" ht="21.75" hidden="1" customHeight="1"/>
    <row r="99" ht="21.75" hidden="1" customHeight="1"/>
    <row r="100" ht="21.75" hidden="1" customHeight="1"/>
    <row r="101" ht="21.7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</sheetData>
  <mergeCells count="4">
    <mergeCell ref="C3:E5"/>
    <mergeCell ref="C7:E7"/>
    <mergeCell ref="D9:O9"/>
    <mergeCell ref="P9:AA9"/>
  </mergeCells>
  <dataValidations count="1">
    <dataValidation allowBlank="1" showErrorMessage="1" sqref="E11:O11 D11:D23 E12:AA23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3"/>
  </sheetPr>
  <dimension ref="B1:AC39"/>
  <sheetViews>
    <sheetView showGridLines="0" topLeftCell="A10" zoomScale="90" zoomScaleNormal="90" workbookViewId="0">
      <selection activeCell="E11" sqref="E11"/>
    </sheetView>
  </sheetViews>
  <sheetFormatPr defaultRowHeight="15" zeroHeight="1"/>
  <cols>
    <col min="1" max="1" width="3.5703125" customWidth="1"/>
    <col min="2" max="2" width="4.7109375" customWidth="1"/>
    <col min="3" max="3" width="37.85546875" customWidth="1"/>
    <col min="4" max="4" width="16.140625" customWidth="1"/>
    <col min="5" max="5" width="18" customWidth="1"/>
    <col min="6" max="6" width="10.28515625" customWidth="1"/>
    <col min="7" max="7" width="10.85546875" customWidth="1"/>
    <col min="8" max="8" width="11.42578125" customWidth="1"/>
    <col min="9" max="9" width="11.5703125" customWidth="1"/>
    <col min="10" max="10" width="12.5703125" customWidth="1"/>
    <col min="11" max="11" width="12.140625" customWidth="1"/>
    <col min="12" max="12" width="12.28515625" customWidth="1"/>
    <col min="13" max="13" width="12.7109375" customWidth="1"/>
    <col min="14" max="14" width="11.7109375" customWidth="1"/>
    <col min="15" max="15" width="10.42578125" customWidth="1"/>
    <col min="16" max="16" width="13" customWidth="1"/>
    <col min="17" max="17" width="11.5703125" customWidth="1"/>
    <col min="18" max="18" width="10.85546875" customWidth="1"/>
    <col min="19" max="20" width="11.85546875" customWidth="1"/>
    <col min="21" max="21" width="10.5703125" customWidth="1"/>
    <col min="22" max="22" width="11.7109375" customWidth="1"/>
    <col min="23" max="23" width="10.7109375" customWidth="1"/>
    <col min="24" max="24" width="11.140625" customWidth="1"/>
    <col min="25" max="25" width="12" customWidth="1"/>
    <col min="26" max="26" width="10.85546875" customWidth="1"/>
    <col min="27" max="27" width="11.140625" customWidth="1"/>
    <col min="28" max="28" width="12.5703125" customWidth="1"/>
  </cols>
  <sheetData>
    <row r="1" spans="2:29" ht="10.5" customHeight="1" thickBot="1"/>
    <row r="2" spans="2:29">
      <c r="B2" s="332"/>
      <c r="C2" s="333"/>
      <c r="D2" s="334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5"/>
    </row>
    <row r="3" spans="2:29">
      <c r="B3" s="336"/>
      <c r="C3" s="532"/>
      <c r="D3" s="532"/>
      <c r="E3" s="532"/>
      <c r="F3" s="532"/>
      <c r="G3" s="532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8"/>
    </row>
    <row r="4" spans="2:29">
      <c r="B4" s="336"/>
      <c r="C4" s="532"/>
      <c r="D4" s="532"/>
      <c r="E4" s="532"/>
      <c r="F4" s="532"/>
      <c r="G4" s="532"/>
      <c r="H4" s="339"/>
      <c r="I4" s="339"/>
      <c r="J4" s="339"/>
      <c r="K4" s="340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41"/>
      <c r="X4" s="339"/>
      <c r="Y4" s="339"/>
      <c r="Z4" s="339"/>
      <c r="AA4" s="339"/>
      <c r="AB4" s="339"/>
      <c r="AC4" s="342"/>
    </row>
    <row r="5" spans="2:29">
      <c r="B5" s="336"/>
      <c r="C5" s="532"/>
      <c r="D5" s="532"/>
      <c r="E5" s="532"/>
      <c r="F5" s="532"/>
      <c r="G5" s="532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42"/>
    </row>
    <row r="6" spans="2:29" ht="15" customHeight="1">
      <c r="B6" s="336"/>
      <c r="C6" s="538" t="s">
        <v>256</v>
      </c>
      <c r="D6" s="538"/>
      <c r="E6" s="538"/>
      <c r="F6" s="538"/>
      <c r="G6" s="538"/>
      <c r="H6" s="538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42"/>
    </row>
    <row r="7" spans="2:29" ht="15.75" customHeight="1">
      <c r="B7" s="14"/>
      <c r="C7" s="538"/>
      <c r="D7" s="538"/>
      <c r="E7" s="538"/>
      <c r="F7" s="538"/>
      <c r="G7" s="538"/>
      <c r="H7" s="538"/>
      <c r="I7" s="343"/>
      <c r="J7" s="343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15"/>
    </row>
    <row r="8" spans="2:29" ht="6" customHeight="1">
      <c r="B8" s="14"/>
      <c r="C8" s="26"/>
      <c r="D8" s="345"/>
      <c r="E8" s="346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15"/>
    </row>
    <row r="9" spans="2:29" ht="10.5" customHeight="1">
      <c r="B9" s="16"/>
      <c r="C9" s="533" t="s">
        <v>73</v>
      </c>
      <c r="D9" s="534"/>
      <c r="E9" s="535" t="s">
        <v>117</v>
      </c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7"/>
      <c r="Q9" s="536" t="s">
        <v>127</v>
      </c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7"/>
      <c r="AC9" s="348"/>
    </row>
    <row r="10" spans="2:29">
      <c r="B10" s="14"/>
      <c r="C10" s="349" t="s">
        <v>269</v>
      </c>
      <c r="D10" s="350" t="s">
        <v>257</v>
      </c>
      <c r="E10" s="353">
        <v>1</v>
      </c>
      <c r="F10" s="353">
        <v>2</v>
      </c>
      <c r="G10" s="353">
        <v>3</v>
      </c>
      <c r="H10" s="353">
        <v>4</v>
      </c>
      <c r="I10" s="353">
        <v>5</v>
      </c>
      <c r="J10" s="353">
        <v>6</v>
      </c>
      <c r="K10" s="353">
        <v>7</v>
      </c>
      <c r="L10" s="353">
        <v>8</v>
      </c>
      <c r="M10" s="353">
        <v>9</v>
      </c>
      <c r="N10" s="353">
        <v>10</v>
      </c>
      <c r="O10" s="353">
        <v>11</v>
      </c>
      <c r="P10" s="353">
        <v>12</v>
      </c>
      <c r="Q10" s="353">
        <v>13</v>
      </c>
      <c r="R10" s="353">
        <v>14</v>
      </c>
      <c r="S10" s="353">
        <v>15</v>
      </c>
      <c r="T10" s="353">
        <v>16</v>
      </c>
      <c r="U10" s="353">
        <v>17</v>
      </c>
      <c r="V10" s="353">
        <v>18</v>
      </c>
      <c r="W10" s="353">
        <v>19</v>
      </c>
      <c r="X10" s="353">
        <v>20</v>
      </c>
      <c r="Y10" s="353">
        <v>21</v>
      </c>
      <c r="Z10" s="353">
        <v>22</v>
      </c>
      <c r="AA10" s="353">
        <v>23</v>
      </c>
      <c r="AB10" s="353">
        <v>24</v>
      </c>
      <c r="AC10" s="351"/>
    </row>
    <row r="11" spans="2:29">
      <c r="B11" s="14"/>
      <c r="C11" s="349" t="s">
        <v>258</v>
      </c>
      <c r="D11" s="354">
        <f>SUM(E11:AB11)</f>
        <v>19010779.362187296</v>
      </c>
      <c r="E11" s="355">
        <f>Продажи!D24</f>
        <v>75500.5</v>
      </c>
      <c r="F11" s="355">
        <f>Продажи!E24</f>
        <v>208069.2</v>
      </c>
      <c r="G11" s="355">
        <f>Продажи!F24</f>
        <v>262570.5</v>
      </c>
      <c r="H11" s="355">
        <f>Продажи!G24</f>
        <v>308329.19999999995</v>
      </c>
      <c r="I11" s="355">
        <f>Продажи!H24</f>
        <v>344855.39999999997</v>
      </c>
      <c r="J11" s="355">
        <f>Продажи!I24</f>
        <v>483035.89500000002</v>
      </c>
      <c r="K11" s="355">
        <f>Продажи!J24</f>
        <v>512767.91774999996</v>
      </c>
      <c r="L11" s="355">
        <f>Продажи!K24</f>
        <v>566948.10723750002</v>
      </c>
      <c r="M11" s="355">
        <f>Продажи!L24</f>
        <v>531448.06791937503</v>
      </c>
      <c r="N11" s="355">
        <f>Продажи!M24</f>
        <v>519545.53769934369</v>
      </c>
      <c r="O11" s="355">
        <f>Продажи!N24</f>
        <v>468563.54624511092</v>
      </c>
      <c r="P11" s="355">
        <f>Продажи!O24</f>
        <v>508396.12155032641</v>
      </c>
      <c r="Q11" s="355">
        <f>Продажи!P24</f>
        <v>396580.36148697883</v>
      </c>
      <c r="R11" s="355">
        <f>Продажи!Q24</f>
        <v>577521.37956132775</v>
      </c>
      <c r="S11" s="355">
        <f>Продажи!R24</f>
        <v>701213.94853939419</v>
      </c>
      <c r="T11" s="355">
        <f>Продажи!S24</f>
        <v>901353.39596636384</v>
      </c>
      <c r="U11" s="355">
        <f>Продажи!T24</f>
        <v>1089530.4407646819</v>
      </c>
      <c r="V11" s="355">
        <f>Продажи!U24</f>
        <v>1273265.6003029158</v>
      </c>
      <c r="W11" s="355">
        <f>Продажи!V24</f>
        <v>1441149.6565680616</v>
      </c>
      <c r="X11" s="355">
        <f>Продажи!W24</f>
        <v>1621440.1797714643</v>
      </c>
      <c r="Y11" s="355">
        <f>Продажи!X24</f>
        <v>1827048.4788225379</v>
      </c>
      <c r="Z11" s="355">
        <f>Продажи!Y24</f>
        <v>1845529.2126874146</v>
      </c>
      <c r="AA11" s="355">
        <f>Продажи!Z24</f>
        <v>1362964.0179773488</v>
      </c>
      <c r="AB11" s="355">
        <f>Продажи!AA24</f>
        <v>1183152.6963371537</v>
      </c>
      <c r="AC11" s="356"/>
    </row>
    <row r="12" spans="2:29">
      <c r="B12" s="14"/>
      <c r="C12" s="349" t="s">
        <v>259</v>
      </c>
      <c r="D12" s="354">
        <f>SUM(E12:AB12)</f>
        <v>2811125.8073386839</v>
      </c>
      <c r="E12" s="355">
        <f>SUM(E13:E14,E17,E25)</f>
        <v>75695.593083333326</v>
      </c>
      <c r="F12" s="355">
        <f t="shared" ref="F12:AB12" si="0">SUM(F13:F14,F17,F25,F28)</f>
        <v>78475.809399999998</v>
      </c>
      <c r="G12" s="355">
        <f t="shared" si="0"/>
        <v>82055.316416666668</v>
      </c>
      <c r="H12" s="355">
        <f t="shared" si="0"/>
        <v>85027.212733333334</v>
      </c>
      <c r="I12" s="355">
        <f t="shared" si="0"/>
        <v>87357.450299999997</v>
      </c>
      <c r="J12" s="355">
        <f t="shared" si="0"/>
        <v>96752.661369166657</v>
      </c>
      <c r="K12" s="355">
        <f t="shared" si="0"/>
        <v>98610.70361695833</v>
      </c>
      <c r="L12" s="355">
        <f t="shared" si="0"/>
        <v>102167.89345300625</v>
      </c>
      <c r="M12" s="355">
        <f t="shared" si="0"/>
        <v>99492.307387063236</v>
      </c>
      <c r="N12" s="355">
        <f t="shared" si="0"/>
        <v>98456.748203437717</v>
      </c>
      <c r="O12" s="355">
        <f t="shared" si="0"/>
        <v>94705.16646403521</v>
      </c>
      <c r="P12" s="355">
        <f t="shared" si="0"/>
        <v>97265.197114414361</v>
      </c>
      <c r="Q12" s="355">
        <f t="shared" si="0"/>
        <v>89285.668456678366</v>
      </c>
      <c r="R12" s="355">
        <f t="shared" si="0"/>
        <v>101652.73587951227</v>
      </c>
      <c r="S12" s="355">
        <f t="shared" si="0"/>
        <v>110041.03609015456</v>
      </c>
      <c r="T12" s="355">
        <f t="shared" si="0"/>
        <v>123742.39435299562</v>
      </c>
      <c r="U12" s="355">
        <f t="shared" si="0"/>
        <v>136612.36563314541</v>
      </c>
      <c r="V12" s="355">
        <f t="shared" si="0"/>
        <v>149173.6258877193</v>
      </c>
      <c r="W12" s="355">
        <f t="shared" si="0"/>
        <v>160633.23446481363</v>
      </c>
      <c r="X12" s="355">
        <f t="shared" si="0"/>
        <v>172955.09249411678</v>
      </c>
      <c r="Y12" s="355">
        <f t="shared" si="0"/>
        <v>187036.53594483304</v>
      </c>
      <c r="Z12" s="355">
        <f t="shared" si="0"/>
        <v>188112.61361510868</v>
      </c>
      <c r="AA12" s="355">
        <f t="shared" si="0"/>
        <v>154365.99924942572</v>
      </c>
      <c r="AB12" s="355">
        <f t="shared" si="0"/>
        <v>141452.44572876551</v>
      </c>
      <c r="AC12" s="356"/>
    </row>
    <row r="13" spans="2:29">
      <c r="B13" s="14"/>
      <c r="C13" s="377" t="s">
        <v>113</v>
      </c>
      <c r="D13" s="378">
        <f>SUM(E13:AB13)</f>
        <v>120000</v>
      </c>
      <c r="E13" s="151">
        <f>Параметры!$F$40</f>
        <v>5000</v>
      </c>
      <c r="F13" s="151">
        <f>Параметры!$F$40</f>
        <v>5000</v>
      </c>
      <c r="G13" s="151">
        <f>Параметры!$F$40</f>
        <v>5000</v>
      </c>
      <c r="H13" s="151">
        <f>Параметры!$F$40</f>
        <v>5000</v>
      </c>
      <c r="I13" s="151">
        <f>Параметры!$F$40</f>
        <v>5000</v>
      </c>
      <c r="J13" s="151">
        <f>Параметры!$F$40</f>
        <v>5000</v>
      </c>
      <c r="K13" s="151">
        <f>Параметры!$F$40</f>
        <v>5000</v>
      </c>
      <c r="L13" s="151">
        <f>Параметры!$F$40</f>
        <v>5000</v>
      </c>
      <c r="M13" s="151">
        <f>Параметры!$F$40</f>
        <v>5000</v>
      </c>
      <c r="N13" s="151">
        <f>Параметры!$F$40</f>
        <v>5000</v>
      </c>
      <c r="O13" s="151">
        <f>Параметры!$F$40</f>
        <v>5000</v>
      </c>
      <c r="P13" s="151">
        <f>Параметры!$F$40</f>
        <v>5000</v>
      </c>
      <c r="Q13" s="151">
        <f>Параметры!$F$40</f>
        <v>5000</v>
      </c>
      <c r="R13" s="151">
        <f>Параметры!$F$40</f>
        <v>5000</v>
      </c>
      <c r="S13" s="151">
        <f>Параметры!$F$40</f>
        <v>5000</v>
      </c>
      <c r="T13" s="151">
        <f>Параметры!$F$40</f>
        <v>5000</v>
      </c>
      <c r="U13" s="151">
        <f>Параметры!$F$40</f>
        <v>5000</v>
      </c>
      <c r="V13" s="151">
        <f>Параметры!$F$40</f>
        <v>5000</v>
      </c>
      <c r="W13" s="151">
        <f>Параметры!$F$40</f>
        <v>5000</v>
      </c>
      <c r="X13" s="151">
        <f>Параметры!$F$40</f>
        <v>5000</v>
      </c>
      <c r="Y13" s="151">
        <f>Параметры!$F$40</f>
        <v>5000</v>
      </c>
      <c r="Z13" s="151">
        <f>Параметры!$F$40</f>
        <v>5000</v>
      </c>
      <c r="AA13" s="151">
        <f>Параметры!$F$40</f>
        <v>5000</v>
      </c>
      <c r="AB13" s="151">
        <f>Параметры!$F$40</f>
        <v>5000</v>
      </c>
      <c r="AC13" s="358"/>
    </row>
    <row r="14" spans="2:29">
      <c r="B14" s="14"/>
      <c r="C14" s="377" t="str">
        <f>Параметры!C53</f>
        <v>ФОТ административных сотрудников</v>
      </c>
      <c r="D14" s="378">
        <f>SUM(D15:D16)</f>
        <v>1119510.1975626522</v>
      </c>
      <c r="E14" s="378">
        <f t="shared" ref="E14:AB14" si="1">SUM(E15:E16)</f>
        <v>32672.259749999997</v>
      </c>
      <c r="F14" s="378">
        <f t="shared" si="1"/>
        <v>35257.349399999999</v>
      </c>
      <c r="G14" s="378">
        <f t="shared" si="1"/>
        <v>36320.124750000003</v>
      </c>
      <c r="H14" s="378">
        <f t="shared" si="1"/>
        <v>37212.419399999999</v>
      </c>
      <c r="I14" s="378">
        <f t="shared" si="1"/>
        <v>37924.6803</v>
      </c>
      <c r="J14" s="378">
        <f t="shared" si="1"/>
        <v>40619.199952499999</v>
      </c>
      <c r="K14" s="378">
        <f t="shared" si="1"/>
        <v>41198.974396124999</v>
      </c>
      <c r="L14" s="378">
        <f t="shared" si="1"/>
        <v>42255.48809113125</v>
      </c>
      <c r="M14" s="378">
        <f t="shared" si="1"/>
        <v>41563.237324427813</v>
      </c>
      <c r="N14" s="378">
        <f t="shared" si="1"/>
        <v>41331.137985137204</v>
      </c>
      <c r="O14" s="378">
        <f t="shared" si="1"/>
        <v>40336.989151779664</v>
      </c>
      <c r="P14" s="378">
        <f t="shared" si="1"/>
        <v>41113.724370231364</v>
      </c>
      <c r="Q14" s="378">
        <f t="shared" si="1"/>
        <v>38933.31704899609</v>
      </c>
      <c r="R14" s="378">
        <f t="shared" si="1"/>
        <v>42461.666901445889</v>
      </c>
      <c r="S14" s="378">
        <f t="shared" si="1"/>
        <v>44873.671996518184</v>
      </c>
      <c r="T14" s="378">
        <f t="shared" si="1"/>
        <v>48776.391221344093</v>
      </c>
      <c r="U14" s="378">
        <f t="shared" si="1"/>
        <v>52445.843594911305</v>
      </c>
      <c r="V14" s="378">
        <f t="shared" si="1"/>
        <v>56028.679205906861</v>
      </c>
      <c r="W14" s="378">
        <f t="shared" si="1"/>
        <v>59302.418303077204</v>
      </c>
      <c r="X14" s="378">
        <f t="shared" si="1"/>
        <v>62818.083505543553</v>
      </c>
      <c r="Y14" s="378">
        <f t="shared" si="1"/>
        <v>66827.445337039491</v>
      </c>
      <c r="Z14" s="378">
        <f t="shared" si="1"/>
        <v>67187.819647404584</v>
      </c>
      <c r="AA14" s="378">
        <f t="shared" si="1"/>
        <v>57777.798350558296</v>
      </c>
      <c r="AB14" s="378">
        <f t="shared" si="1"/>
        <v>54271.477578574493</v>
      </c>
      <c r="AC14" s="358"/>
    </row>
    <row r="15" spans="2:29">
      <c r="B15" s="14"/>
      <c r="C15" s="379" t="str">
        <f>Параметры!C54</f>
        <v>Диспетчер</v>
      </c>
      <c r="D15" s="380">
        <f>SUM(E15:AB15)</f>
        <v>861161.69043280941</v>
      </c>
      <c r="E15" s="380">
        <f>Параметры!$F$54*Параметры!$E$54+Параметры!$G$54*БДР!E11</f>
        <v>25132.5075</v>
      </c>
      <c r="F15" s="380">
        <f>Параметры!$F$54*Параметры!$E$54+Параметры!$G$54*БДР!F11</f>
        <v>27121.038</v>
      </c>
      <c r="G15" s="380">
        <f>Параметры!$F$54*Параметры!$E$54+Параметры!$G$54*БДР!G11</f>
        <v>27938.557499999999</v>
      </c>
      <c r="H15" s="380">
        <f>Параметры!$F$54*Параметры!$E$54+Параметры!$G$54*БДР!H11</f>
        <v>28624.937999999998</v>
      </c>
      <c r="I15" s="380">
        <f>Параметры!$F$54*Параметры!$E$54+Параметры!$G$54*БДР!I11</f>
        <v>29172.830999999998</v>
      </c>
      <c r="J15" s="380">
        <f>Параметры!$F$54*Параметры!$E$54+Параметры!$G$54*БДР!J11</f>
        <v>31245.538424999999</v>
      </c>
      <c r="K15" s="380">
        <f>Параметры!$F$54*Параметры!$E$54+Параметры!$G$54*БДР!K11</f>
        <v>31691.518766249999</v>
      </c>
      <c r="L15" s="380">
        <f>Параметры!$F$54*Параметры!$E$54+Параметры!$G$54*БДР!L11</f>
        <v>32504.2216085625</v>
      </c>
      <c r="M15" s="380">
        <f>Параметры!$F$54*Параметры!$E$54+Параметры!$G$54*БДР!M11</f>
        <v>31971.721018790624</v>
      </c>
      <c r="N15" s="380">
        <f>Параметры!$F$54*Параметры!$E$54+Параметры!$G$54*БДР!N11</f>
        <v>31793.183065490157</v>
      </c>
      <c r="O15" s="380">
        <f>Параметры!$F$54*Параметры!$E$54+Параметры!$G$54*БДР!O11</f>
        <v>31028.453193676665</v>
      </c>
      <c r="P15" s="380">
        <f>Параметры!$F$54*Параметры!$E$54+Параметры!$G$54*БДР!P11</f>
        <v>31625.941823254896</v>
      </c>
      <c r="Q15" s="380">
        <f>Параметры!$F$54*Параметры!$E$54+Параметры!$G$54*БДР!Q11</f>
        <v>29948.705422304683</v>
      </c>
      <c r="R15" s="380">
        <f>Параметры!$F$54*Параметры!$E$54+Параметры!$G$54*БДР!R11</f>
        <v>32662.820693419915</v>
      </c>
      <c r="S15" s="380">
        <f>Параметры!$F$54*Параметры!$E$54+Параметры!$G$54*БДР!S11</f>
        <v>34518.209228090913</v>
      </c>
      <c r="T15" s="380">
        <f>Параметры!$F$54*Параметры!$E$54+Параметры!$G$54*БДР!T11</f>
        <v>37520.300939495457</v>
      </c>
      <c r="U15" s="380">
        <f>Параметры!$F$54*Параметры!$E$54+Параметры!$G$54*БДР!U11</f>
        <v>40342.956611470232</v>
      </c>
      <c r="V15" s="380">
        <f>Параметры!$F$54*Параметры!$E$54+Параметры!$G$54*БДР!V11</f>
        <v>43098.984004543738</v>
      </c>
      <c r="W15" s="380">
        <f>Параметры!$F$54*Параметры!$E$54+Параметры!$G$54*БДР!W11</f>
        <v>45617.244848520924</v>
      </c>
      <c r="X15" s="380">
        <f>Параметры!$F$54*Параметры!$E$54+Параметры!$G$54*БДР!X11</f>
        <v>48321.602696571965</v>
      </c>
      <c r="Y15" s="380">
        <f>Параметры!$F$54*Параметры!$E$54+Параметры!$G$54*БДР!Y11</f>
        <v>51405.727182338072</v>
      </c>
      <c r="Z15" s="380">
        <f>Параметры!$F$54*Параметры!$E$54+Параметры!$G$54*БДР!Z11</f>
        <v>51682.938190311223</v>
      </c>
      <c r="AA15" s="380">
        <f>Параметры!$F$54*Параметры!$E$54+Параметры!$G$54*БДР!AA11</f>
        <v>44444.460269660231</v>
      </c>
      <c r="AB15" s="380">
        <f>Параметры!$F$54*Параметры!$E$54+Параметры!$G$54*БДР!AB11</f>
        <v>41747.290445057304</v>
      </c>
      <c r="AC15" s="359"/>
    </row>
    <row r="16" spans="2:29">
      <c r="B16" s="14"/>
      <c r="C16" s="379" t="str">
        <f>Параметры!C55</f>
        <v>Страховые взносы за персонал</v>
      </c>
      <c r="D16" s="380">
        <f t="shared" ref="D16:D27" si="2">SUM(E16:AB16)</f>
        <v>258348.50712984288</v>
      </c>
      <c r="E16" s="441">
        <f>E15*Параметры!$F$55</f>
        <v>7539.7522499999995</v>
      </c>
      <c r="F16" s="380">
        <f>F15*Параметры!$F$55</f>
        <v>8136.3113999999996</v>
      </c>
      <c r="G16" s="380">
        <f>G15*Параметры!$F$55</f>
        <v>8381.5672500000001</v>
      </c>
      <c r="H16" s="380">
        <f>H15*Параметры!$F$55</f>
        <v>8587.4813999999988</v>
      </c>
      <c r="I16" s="380">
        <f>I15*Параметры!$F$55</f>
        <v>8751.8492999999999</v>
      </c>
      <c r="J16" s="380">
        <f>J15*Параметры!$F$55</f>
        <v>9373.6615274999986</v>
      </c>
      <c r="K16" s="380">
        <f>K15*Параметры!$F$55</f>
        <v>9507.4556298749994</v>
      </c>
      <c r="L16" s="380">
        <f>L15*Параметры!$F$55</f>
        <v>9751.2664825687498</v>
      </c>
      <c r="M16" s="380">
        <f>M15*Параметры!$F$55</f>
        <v>9591.5163056371875</v>
      </c>
      <c r="N16" s="380">
        <f>N15*Параметры!$F$55</f>
        <v>9537.9549196470471</v>
      </c>
      <c r="O16" s="380">
        <f>O15*Параметры!$F$55</f>
        <v>9308.5359581029988</v>
      </c>
      <c r="P16" s="380">
        <f>P15*Параметры!$F$55</f>
        <v>9487.7825469764684</v>
      </c>
      <c r="Q16" s="380">
        <f>Q15*Параметры!$F$55</f>
        <v>8984.611626691405</v>
      </c>
      <c r="R16" s="380">
        <f>R15*Параметры!$F$55</f>
        <v>9798.8462080259742</v>
      </c>
      <c r="S16" s="380">
        <f>S15*Параметры!$F$55</f>
        <v>10355.462768427273</v>
      </c>
      <c r="T16" s="380">
        <f>T15*Параметры!$F$55</f>
        <v>11256.090281848637</v>
      </c>
      <c r="U16" s="380">
        <f>U15*Параметры!$F$55</f>
        <v>12102.886983441069</v>
      </c>
      <c r="V16" s="380">
        <f>V15*Параметры!$F$55</f>
        <v>12929.695201363122</v>
      </c>
      <c r="W16" s="380">
        <f>W15*Параметры!$F$55</f>
        <v>13685.173454556278</v>
      </c>
      <c r="X16" s="380">
        <f>X15*Параметры!$F$55</f>
        <v>14496.48080897159</v>
      </c>
      <c r="Y16" s="380">
        <f>Y15*Параметры!$F$55</f>
        <v>15421.718154701421</v>
      </c>
      <c r="Z16" s="380">
        <f>Z15*Параметры!$F$55</f>
        <v>15504.881457093366</v>
      </c>
      <c r="AA16" s="380">
        <f>AA15*Параметры!$F$55</f>
        <v>13333.338080898069</v>
      </c>
      <c r="AB16" s="380">
        <f>AB15*Параметры!$F$55</f>
        <v>12524.187133517191</v>
      </c>
      <c r="AC16" s="359"/>
    </row>
    <row r="17" spans="2:29">
      <c r="B17" s="14"/>
      <c r="C17" s="377" t="str">
        <f>Параметры!C56</f>
        <v>Организационные расходы</v>
      </c>
      <c r="D17" s="378">
        <f>SUM(D18:D24)</f>
        <v>1009323.9431093649</v>
      </c>
      <c r="E17" s="378">
        <f t="shared" ref="E17:AB17" si="3">SUM(E18:E24)</f>
        <v>12190</v>
      </c>
      <c r="F17" s="378">
        <f t="shared" si="3"/>
        <v>12593.460000000001</v>
      </c>
      <c r="G17" s="378">
        <f t="shared" si="3"/>
        <v>15318.525000000001</v>
      </c>
      <c r="H17" s="378">
        <f t="shared" si="3"/>
        <v>17606.46</v>
      </c>
      <c r="I17" s="378">
        <f t="shared" si="3"/>
        <v>19432.77</v>
      </c>
      <c r="J17" s="378">
        <f t="shared" si="3"/>
        <v>26341.794750000001</v>
      </c>
      <c r="K17" s="378">
        <f t="shared" si="3"/>
        <v>27828.395887499999</v>
      </c>
      <c r="L17" s="378">
        <f t="shared" si="3"/>
        <v>30537.405361875004</v>
      </c>
      <c r="M17" s="378">
        <f t="shared" si="3"/>
        <v>28762.403395968751</v>
      </c>
      <c r="N17" s="378">
        <f t="shared" si="3"/>
        <v>28167.276884967185</v>
      </c>
      <c r="O17" s="378">
        <f t="shared" si="3"/>
        <v>25618.177312255546</v>
      </c>
      <c r="P17" s="378">
        <f t="shared" si="3"/>
        <v>27609.806077516321</v>
      </c>
      <c r="Q17" s="378">
        <f t="shared" si="3"/>
        <v>22019.018074348944</v>
      </c>
      <c r="R17" s="378">
        <f t="shared" si="3"/>
        <v>31066.068978066389</v>
      </c>
      <c r="S17" s="378">
        <f t="shared" si="3"/>
        <v>37250.697426969709</v>
      </c>
      <c r="T17" s="378">
        <f t="shared" si="3"/>
        <v>47257.669798318195</v>
      </c>
      <c r="U17" s="378">
        <f t="shared" si="3"/>
        <v>56666.522038234099</v>
      </c>
      <c r="V17" s="378">
        <f t="shared" si="3"/>
        <v>65853.280015145792</v>
      </c>
      <c r="W17" s="378">
        <f t="shared" si="3"/>
        <v>74247.482828403081</v>
      </c>
      <c r="X17" s="378">
        <f t="shared" si="3"/>
        <v>83262.008988573216</v>
      </c>
      <c r="Y17" s="378">
        <f t="shared" si="3"/>
        <v>93542.423941126908</v>
      </c>
      <c r="Z17" s="378">
        <f t="shared" si="3"/>
        <v>94466.460634370742</v>
      </c>
      <c r="AA17" s="378">
        <f t="shared" si="3"/>
        <v>70338.200898867435</v>
      </c>
      <c r="AB17" s="378">
        <f t="shared" si="3"/>
        <v>61347.634816857688</v>
      </c>
      <c r="AC17" s="359"/>
    </row>
    <row r="18" spans="2:29">
      <c r="B18" s="14"/>
      <c r="C18" s="379" t="str">
        <f>Параметры!C57</f>
        <v>Хозяйственные и канцелярские принадлежности</v>
      </c>
      <c r="D18" s="380">
        <f>SUM(E18:AB18)</f>
        <v>4800</v>
      </c>
      <c r="E18" s="380">
        <f>Параметры!$G$57</f>
        <v>200</v>
      </c>
      <c r="F18" s="380">
        <f>Параметры!$G$57</f>
        <v>200</v>
      </c>
      <c r="G18" s="380">
        <f>Параметры!$G$57</f>
        <v>200</v>
      </c>
      <c r="H18" s="380">
        <f>Параметры!$G$57</f>
        <v>200</v>
      </c>
      <c r="I18" s="380">
        <f>Параметры!$G$57</f>
        <v>200</v>
      </c>
      <c r="J18" s="380">
        <f>Параметры!$G$57</f>
        <v>200</v>
      </c>
      <c r="K18" s="380">
        <f>Параметры!$G$57</f>
        <v>200</v>
      </c>
      <c r="L18" s="380">
        <f>Параметры!$G$57</f>
        <v>200</v>
      </c>
      <c r="M18" s="380">
        <f>Параметры!$G$57</f>
        <v>200</v>
      </c>
      <c r="N18" s="380">
        <f>Параметры!$G$57</f>
        <v>200</v>
      </c>
      <c r="O18" s="380">
        <f>Параметры!$G$57</f>
        <v>200</v>
      </c>
      <c r="P18" s="380">
        <f>Параметры!$G$57</f>
        <v>200</v>
      </c>
      <c r="Q18" s="380">
        <f>Параметры!$G$57</f>
        <v>200</v>
      </c>
      <c r="R18" s="380">
        <f>Параметры!$G$57</f>
        <v>200</v>
      </c>
      <c r="S18" s="380">
        <f>Параметры!$G$57</f>
        <v>200</v>
      </c>
      <c r="T18" s="380">
        <f>Параметры!$G$57</f>
        <v>200</v>
      </c>
      <c r="U18" s="380">
        <f>Параметры!$G$57</f>
        <v>200</v>
      </c>
      <c r="V18" s="380">
        <f>Параметры!$G$57</f>
        <v>200</v>
      </c>
      <c r="W18" s="380">
        <f>Параметры!$G$57</f>
        <v>200</v>
      </c>
      <c r="X18" s="380">
        <f>Параметры!$G$57</f>
        <v>200</v>
      </c>
      <c r="Y18" s="380">
        <f>Параметры!$G$57</f>
        <v>200</v>
      </c>
      <c r="Z18" s="380">
        <f>Параметры!$G$57</f>
        <v>200</v>
      </c>
      <c r="AA18" s="380">
        <f>Параметры!$G$57</f>
        <v>200</v>
      </c>
      <c r="AB18" s="380">
        <f>Параметры!$G$57</f>
        <v>200</v>
      </c>
      <c r="AC18" s="359"/>
    </row>
    <row r="19" spans="2:29">
      <c r="B19" s="14"/>
      <c r="C19" s="379" t="str">
        <f>Параметры!C58</f>
        <v>Коммунальные услуги</v>
      </c>
      <c r="D19" s="380">
        <f t="shared" ref="D19:D23" si="4">SUM(E19:AB19)</f>
        <v>0</v>
      </c>
      <c r="E19" s="380">
        <f>Параметры!$G$58</f>
        <v>0</v>
      </c>
      <c r="F19" s="380">
        <f>Параметры!$G$58</f>
        <v>0</v>
      </c>
      <c r="G19" s="380">
        <f>Параметры!$G$58</f>
        <v>0</v>
      </c>
      <c r="H19" s="380">
        <f>Параметры!$G$58</f>
        <v>0</v>
      </c>
      <c r="I19" s="380">
        <f>Параметры!$G$58</f>
        <v>0</v>
      </c>
      <c r="J19" s="380">
        <f>Параметры!$G$58</f>
        <v>0</v>
      </c>
      <c r="K19" s="380">
        <f>Параметры!$G$58</f>
        <v>0</v>
      </c>
      <c r="L19" s="380">
        <f>Параметры!$G$58</f>
        <v>0</v>
      </c>
      <c r="M19" s="380">
        <f>Параметры!$G$58</f>
        <v>0</v>
      </c>
      <c r="N19" s="380">
        <f>Параметры!$G$58</f>
        <v>0</v>
      </c>
      <c r="O19" s="380">
        <f>Параметры!$G$58</f>
        <v>0</v>
      </c>
      <c r="P19" s="380">
        <f>Параметры!$G$58</f>
        <v>0</v>
      </c>
      <c r="Q19" s="380">
        <f>Параметры!$G$58</f>
        <v>0</v>
      </c>
      <c r="R19" s="380">
        <f>Параметры!$G$58</f>
        <v>0</v>
      </c>
      <c r="S19" s="380">
        <f>Параметры!$G$58</f>
        <v>0</v>
      </c>
      <c r="T19" s="380">
        <f>Параметры!$G$58</f>
        <v>0</v>
      </c>
      <c r="U19" s="380">
        <f>Параметры!$G$58</f>
        <v>0</v>
      </c>
      <c r="V19" s="380">
        <f>Параметры!$G$58</f>
        <v>0</v>
      </c>
      <c r="W19" s="380">
        <f>Параметры!$G$58</f>
        <v>0</v>
      </c>
      <c r="X19" s="380">
        <f>Параметры!$G$58</f>
        <v>0</v>
      </c>
      <c r="Y19" s="380">
        <f>Параметры!$G$58</f>
        <v>0</v>
      </c>
      <c r="Z19" s="380">
        <f>Параметры!$G$58</f>
        <v>0</v>
      </c>
      <c r="AA19" s="380">
        <f>Параметры!$G$58</f>
        <v>0</v>
      </c>
      <c r="AB19" s="380">
        <f>Параметры!$G$58</f>
        <v>0</v>
      </c>
      <c r="AC19" s="359"/>
    </row>
    <row r="20" spans="2:29">
      <c r="B20" s="14"/>
      <c r="C20" s="379" t="str">
        <f>Параметры!C59</f>
        <v>Заправка картриджей</v>
      </c>
      <c r="D20" s="380">
        <f t="shared" si="4"/>
        <v>12000</v>
      </c>
      <c r="E20" s="380">
        <f>Параметры!$G$59</f>
        <v>500</v>
      </c>
      <c r="F20" s="380">
        <f>Параметры!$G$59</f>
        <v>500</v>
      </c>
      <c r="G20" s="380">
        <f>Параметры!$G$59</f>
        <v>500</v>
      </c>
      <c r="H20" s="380">
        <f>Параметры!$G$59</f>
        <v>500</v>
      </c>
      <c r="I20" s="380">
        <f>Параметры!$G$59</f>
        <v>500</v>
      </c>
      <c r="J20" s="380">
        <f>Параметры!$G$59</f>
        <v>500</v>
      </c>
      <c r="K20" s="380">
        <f>Параметры!$G$59</f>
        <v>500</v>
      </c>
      <c r="L20" s="380">
        <f>Параметры!$G$59</f>
        <v>500</v>
      </c>
      <c r="M20" s="380">
        <f>Параметры!$G$59</f>
        <v>500</v>
      </c>
      <c r="N20" s="380">
        <f>Параметры!$G$59</f>
        <v>500</v>
      </c>
      <c r="O20" s="380">
        <f>Параметры!$G$59</f>
        <v>500</v>
      </c>
      <c r="P20" s="380">
        <f>Параметры!$G$59</f>
        <v>500</v>
      </c>
      <c r="Q20" s="380">
        <f>Параметры!$G$59</f>
        <v>500</v>
      </c>
      <c r="R20" s="380">
        <f>Параметры!$G$59</f>
        <v>500</v>
      </c>
      <c r="S20" s="380">
        <f>Параметры!$G$59</f>
        <v>500</v>
      </c>
      <c r="T20" s="380">
        <f>Параметры!$G$59</f>
        <v>500</v>
      </c>
      <c r="U20" s="380">
        <f>Параметры!$G$59</f>
        <v>500</v>
      </c>
      <c r="V20" s="380">
        <f>Параметры!$G$59</f>
        <v>500</v>
      </c>
      <c r="W20" s="380">
        <f>Параметры!$G$59</f>
        <v>500</v>
      </c>
      <c r="X20" s="380">
        <f>Параметры!$G$59</f>
        <v>500</v>
      </c>
      <c r="Y20" s="380">
        <f>Параметры!$G$59</f>
        <v>500</v>
      </c>
      <c r="Z20" s="380">
        <f>Параметры!$G$59</f>
        <v>500</v>
      </c>
      <c r="AA20" s="380">
        <f>Параметры!$G$59</f>
        <v>500</v>
      </c>
      <c r="AB20" s="380">
        <f>Параметры!$G$59</f>
        <v>500</v>
      </c>
      <c r="AC20" s="359"/>
    </row>
    <row r="21" spans="2:29">
      <c r="B21" s="14"/>
      <c r="C21" s="379" t="str">
        <f>Параметры!C60</f>
        <v>Телефония</v>
      </c>
      <c r="D21" s="380">
        <f t="shared" si="4"/>
        <v>24000</v>
      </c>
      <c r="E21" s="380">
        <f>Параметры!$G$60</f>
        <v>1000</v>
      </c>
      <c r="F21" s="380">
        <f>Параметры!$G$60</f>
        <v>1000</v>
      </c>
      <c r="G21" s="380">
        <f>Параметры!$G$60</f>
        <v>1000</v>
      </c>
      <c r="H21" s="380">
        <f>Параметры!$G$60</f>
        <v>1000</v>
      </c>
      <c r="I21" s="380">
        <f>Параметры!$G$60</f>
        <v>1000</v>
      </c>
      <c r="J21" s="380">
        <f>Параметры!$G$60</f>
        <v>1000</v>
      </c>
      <c r="K21" s="380">
        <f>Параметры!$G$60</f>
        <v>1000</v>
      </c>
      <c r="L21" s="380">
        <f>Параметры!$G$60</f>
        <v>1000</v>
      </c>
      <c r="M21" s="380">
        <f>Параметры!$G$60</f>
        <v>1000</v>
      </c>
      <c r="N21" s="380">
        <f>Параметры!$G$60</f>
        <v>1000</v>
      </c>
      <c r="O21" s="380">
        <f>Параметры!$G$60</f>
        <v>1000</v>
      </c>
      <c r="P21" s="380">
        <f>Параметры!$G$60</f>
        <v>1000</v>
      </c>
      <c r="Q21" s="380">
        <f>Параметры!$G$60</f>
        <v>1000</v>
      </c>
      <c r="R21" s="380">
        <f>Параметры!$G$60</f>
        <v>1000</v>
      </c>
      <c r="S21" s="380">
        <f>Параметры!$G$60</f>
        <v>1000</v>
      </c>
      <c r="T21" s="380">
        <f>Параметры!$G$60</f>
        <v>1000</v>
      </c>
      <c r="U21" s="380">
        <f>Параметры!$G$60</f>
        <v>1000</v>
      </c>
      <c r="V21" s="380">
        <f>Параметры!$G$60</f>
        <v>1000</v>
      </c>
      <c r="W21" s="380">
        <f>Параметры!$G$60</f>
        <v>1000</v>
      </c>
      <c r="X21" s="380">
        <f>Параметры!$G$60</f>
        <v>1000</v>
      </c>
      <c r="Y21" s="380">
        <f>Параметры!$G$60</f>
        <v>1000</v>
      </c>
      <c r="Z21" s="380">
        <f>Параметры!$G$60</f>
        <v>1000</v>
      </c>
      <c r="AA21" s="380">
        <f>Параметры!$G$60</f>
        <v>1000</v>
      </c>
      <c r="AB21" s="380">
        <f>Параметры!$G$60</f>
        <v>1000</v>
      </c>
      <c r="AC21" s="359"/>
    </row>
    <row r="22" spans="2:29">
      <c r="B22" s="14"/>
      <c r="C22" s="379" t="str">
        <f>Параметры!C61</f>
        <v>Банковское обслуживание</v>
      </c>
      <c r="D22" s="380">
        <f t="shared" si="4"/>
        <v>11760</v>
      </c>
      <c r="E22" s="380">
        <f>Параметры!$G$61</f>
        <v>490</v>
      </c>
      <c r="F22" s="380">
        <f>Параметры!$G$61</f>
        <v>490</v>
      </c>
      <c r="G22" s="380">
        <f>Параметры!$G$61</f>
        <v>490</v>
      </c>
      <c r="H22" s="380">
        <f>Параметры!$G$61</f>
        <v>490</v>
      </c>
      <c r="I22" s="380">
        <f>Параметры!$G$61</f>
        <v>490</v>
      </c>
      <c r="J22" s="380">
        <f>Параметры!$G$61</f>
        <v>490</v>
      </c>
      <c r="K22" s="380">
        <f>Параметры!$G$61</f>
        <v>490</v>
      </c>
      <c r="L22" s="380">
        <f>Параметры!$G$61</f>
        <v>490</v>
      </c>
      <c r="M22" s="380">
        <f>Параметры!$G$61</f>
        <v>490</v>
      </c>
      <c r="N22" s="380">
        <f>Параметры!$G$61</f>
        <v>490</v>
      </c>
      <c r="O22" s="380">
        <f>Параметры!$G$61</f>
        <v>490</v>
      </c>
      <c r="P22" s="380">
        <f>Параметры!$G$61</f>
        <v>490</v>
      </c>
      <c r="Q22" s="380">
        <f>Параметры!$G$61</f>
        <v>490</v>
      </c>
      <c r="R22" s="380">
        <f>Параметры!$G$61</f>
        <v>490</v>
      </c>
      <c r="S22" s="380">
        <f>Параметры!$G$61</f>
        <v>490</v>
      </c>
      <c r="T22" s="380">
        <f>Параметры!$G$61</f>
        <v>490</v>
      </c>
      <c r="U22" s="380">
        <f>Параметры!$G$61</f>
        <v>490</v>
      </c>
      <c r="V22" s="380">
        <f>Параметры!$G$61</f>
        <v>490</v>
      </c>
      <c r="W22" s="380">
        <f>Параметры!$G$61</f>
        <v>490</v>
      </c>
      <c r="X22" s="380">
        <f>Параметры!$G$61</f>
        <v>490</v>
      </c>
      <c r="Y22" s="380">
        <f>Параметры!$G$61</f>
        <v>490</v>
      </c>
      <c r="Z22" s="380">
        <f>Параметры!$G$61</f>
        <v>490</v>
      </c>
      <c r="AA22" s="380">
        <f>Параметры!$G$61</f>
        <v>490</v>
      </c>
      <c r="AB22" s="380">
        <f>Параметры!$G$61</f>
        <v>490</v>
      </c>
      <c r="AC22" s="359"/>
    </row>
    <row r="23" spans="2:29">
      <c r="B23" s="14"/>
      <c r="C23" s="379" t="str">
        <f>Параметры!C62</f>
        <v>Реклама</v>
      </c>
      <c r="D23" s="380">
        <f t="shared" si="4"/>
        <v>956763.94310936495</v>
      </c>
      <c r="E23" s="380">
        <f>Параметры!G63</f>
        <v>10000</v>
      </c>
      <c r="F23" s="380">
        <f>IF(БДР!F11*Параметры!$G$62&gt;=Параметры!$G$63,БДР!F11*Параметры!$G$62,Параметры!$G$63)</f>
        <v>10403.460000000001</v>
      </c>
      <c r="G23" s="380">
        <f>IF(БДР!G11*Параметры!$G$62&gt;=Параметры!$G$63,БДР!G11*Параметры!$G$62,Параметры!$G$63)</f>
        <v>13128.525000000001</v>
      </c>
      <c r="H23" s="380">
        <f>IF(БДР!H11*Параметры!$G$62&gt;=Параметры!$G$63,БДР!H11*Параметры!$G$62,Параметры!$G$63)</f>
        <v>15416.46</v>
      </c>
      <c r="I23" s="380">
        <f>IF(БДР!I11*Параметры!$G$62&gt;=Параметры!$G$63,БДР!I11*Параметры!$G$62,Параметры!$G$63)</f>
        <v>17242.77</v>
      </c>
      <c r="J23" s="380">
        <f>IF(БДР!J11*Параметры!$G$62&gt;=Параметры!$G$63,БДР!J11*Параметры!$G$62,Параметры!$G$63)</f>
        <v>24151.794750000001</v>
      </c>
      <c r="K23" s="380">
        <f>IF(БДР!K11*Параметры!$G$62&gt;=Параметры!$G$63,БДР!K11*Параметры!$G$62,Параметры!$G$63)</f>
        <v>25638.395887499999</v>
      </c>
      <c r="L23" s="380">
        <f>IF(БДР!L11*Параметры!$G$62&gt;=Параметры!$G$63,БДР!L11*Параметры!$G$62,Параметры!$G$63)</f>
        <v>28347.405361875004</v>
      </c>
      <c r="M23" s="380">
        <f>IF(БДР!M11*Параметры!$G$62&gt;=Параметры!$G$63,БДР!M11*Параметры!$G$62,Параметры!$G$63)</f>
        <v>26572.403395968751</v>
      </c>
      <c r="N23" s="380">
        <f>IF(БДР!N11*Параметры!$G$62&gt;=Параметры!$G$63,БДР!N11*Параметры!$G$62,Параметры!$G$63)</f>
        <v>25977.276884967185</v>
      </c>
      <c r="O23" s="380">
        <f>IF(БДР!O11*Параметры!$G$62&gt;=Параметры!$G$63,БДР!O11*Параметры!$G$62,Параметры!$G$63)</f>
        <v>23428.177312255546</v>
      </c>
      <c r="P23" s="380">
        <f>IF(БДР!P11*Параметры!$G$62&gt;=Параметры!$G$63,БДР!P11*Параметры!$G$62,Параметры!$G$63)</f>
        <v>25419.806077516321</v>
      </c>
      <c r="Q23" s="380">
        <f>IF(БДР!Q11*Параметры!$G$62&gt;=Параметры!$G$63,БДР!Q11*Параметры!$G$62,Параметры!$G$63)</f>
        <v>19829.018074348944</v>
      </c>
      <c r="R23" s="380">
        <f>IF(БДР!R11*Параметры!$G$62&gt;=Параметры!$G$63,БДР!R11*Параметры!$G$62,Параметры!$G$63)</f>
        <v>28876.068978066389</v>
      </c>
      <c r="S23" s="380">
        <f>IF(БДР!S11*Параметры!$G$62&gt;=Параметры!$G$63,БДР!S11*Параметры!$G$62,Параметры!$G$63)</f>
        <v>35060.697426969709</v>
      </c>
      <c r="T23" s="380">
        <f>IF(БДР!T11*Параметры!$G$62&gt;=Параметры!$G$63,БДР!T11*Параметры!$G$62,Параметры!$G$63)</f>
        <v>45067.669798318195</v>
      </c>
      <c r="U23" s="380">
        <f>IF(БДР!U11*Параметры!$G$62&gt;=Параметры!$G$63,БДР!U11*Параметры!$G$62,Параметры!$G$63)</f>
        <v>54476.522038234099</v>
      </c>
      <c r="V23" s="380">
        <f>IF(БДР!V11*Параметры!$G$62&gt;=Параметры!$G$63,БДР!V11*Параметры!$G$62,Параметры!$G$63)</f>
        <v>63663.280015145792</v>
      </c>
      <c r="W23" s="380">
        <f>IF(БДР!W11*Параметры!$G$62&gt;=Параметры!$G$63,БДР!W11*Параметры!$G$62,Параметры!$G$63)</f>
        <v>72057.482828403081</v>
      </c>
      <c r="X23" s="380">
        <f>IF(БДР!X11*Параметры!$G$62&gt;=Параметры!$G$63,БДР!X11*Параметры!$G$62,Параметры!$G$63)</f>
        <v>81072.008988573216</v>
      </c>
      <c r="Y23" s="380">
        <f>IF(БДР!Y11*Параметры!$G$62&gt;=Параметры!$G$63,БДР!Y11*Параметры!$G$62,Параметры!$G$63)</f>
        <v>91352.423941126908</v>
      </c>
      <c r="Z23" s="380">
        <f>IF(БДР!Z11*Параметры!$G$62&gt;=Параметры!$G$63,БДР!Z11*Параметры!$G$62,Параметры!$G$63)</f>
        <v>92276.460634370742</v>
      </c>
      <c r="AA23" s="380">
        <f>IF(БДР!AA11*Параметры!$G$62&gt;=Параметры!$G$63,БДР!AA11*Параметры!$G$62,Параметры!$G$63)</f>
        <v>68148.200898867435</v>
      </c>
      <c r="AB23" s="380">
        <f>IF(БДР!AB11*Параметры!$G$62&gt;=Параметры!$G$63,БДР!AB11*Параметры!$G$62,Параметры!$G$63)</f>
        <v>59157.634816857688</v>
      </c>
      <c r="AC23" s="359"/>
    </row>
    <row r="24" spans="2:29">
      <c r="B24" s="14"/>
      <c r="C24" s="379" t="str">
        <f>Параметры!C64</f>
        <v>Прочие затраты</v>
      </c>
      <c r="D24" s="380">
        <f>SUM(E24:AB24)</f>
        <v>0</v>
      </c>
      <c r="E24" s="380">
        <f>Параметры!$G$65</f>
        <v>0</v>
      </c>
      <c r="F24" s="380">
        <f>Параметры!$G$65</f>
        <v>0</v>
      </c>
      <c r="G24" s="380">
        <f>Параметры!$G$65</f>
        <v>0</v>
      </c>
      <c r="H24" s="380">
        <f>Параметры!$G$65</f>
        <v>0</v>
      </c>
      <c r="I24" s="380">
        <f>Параметры!$G$65</f>
        <v>0</v>
      </c>
      <c r="J24" s="380">
        <f>Параметры!$G$65</f>
        <v>0</v>
      </c>
      <c r="K24" s="380">
        <f>Параметры!$G$65</f>
        <v>0</v>
      </c>
      <c r="L24" s="380">
        <f>Параметры!$G$65</f>
        <v>0</v>
      </c>
      <c r="M24" s="380">
        <f>Параметры!$G$65</f>
        <v>0</v>
      </c>
      <c r="N24" s="380">
        <f>Параметры!$G$65</f>
        <v>0</v>
      </c>
      <c r="O24" s="380">
        <f>Параметры!$G$65</f>
        <v>0</v>
      </c>
      <c r="P24" s="380">
        <f>Параметры!$G$65</f>
        <v>0</v>
      </c>
      <c r="Q24" s="380">
        <f>Параметры!$G$65</f>
        <v>0</v>
      </c>
      <c r="R24" s="380">
        <f>Параметры!$G$65</f>
        <v>0</v>
      </c>
      <c r="S24" s="380">
        <f>Параметры!$G$65</f>
        <v>0</v>
      </c>
      <c r="T24" s="380">
        <f>Параметры!$G$65</f>
        <v>0</v>
      </c>
      <c r="U24" s="380">
        <f>Параметры!$G$65</f>
        <v>0</v>
      </c>
      <c r="V24" s="380">
        <f>Параметры!$G$65</f>
        <v>0</v>
      </c>
      <c r="W24" s="380">
        <f>Параметры!$G$65</f>
        <v>0</v>
      </c>
      <c r="X24" s="380">
        <f>Параметры!$G$65</f>
        <v>0</v>
      </c>
      <c r="Y24" s="380">
        <f>Параметры!$G$65</f>
        <v>0</v>
      </c>
      <c r="Z24" s="380">
        <f>Параметры!$G$65</f>
        <v>0</v>
      </c>
      <c r="AA24" s="380">
        <f>Параметры!$G$65</f>
        <v>0</v>
      </c>
      <c r="AB24" s="380">
        <f>Параметры!$G$65</f>
        <v>0</v>
      </c>
      <c r="AC24" s="359"/>
    </row>
    <row r="25" spans="2:29">
      <c r="B25" s="14"/>
      <c r="C25" s="377" t="s">
        <v>260</v>
      </c>
      <c r="D25" s="378">
        <f t="shared" si="2"/>
        <v>562291.66666666674</v>
      </c>
      <c r="E25" s="378">
        <f>E26+E27</f>
        <v>25833.333333333332</v>
      </c>
      <c r="F25" s="378">
        <f t="shared" ref="F25:AB25" si="5">F26+F27</f>
        <v>25625</v>
      </c>
      <c r="G25" s="378">
        <f t="shared" si="5"/>
        <v>25416.666666666664</v>
      </c>
      <c r="H25" s="378">
        <f t="shared" si="5"/>
        <v>25208.333333333332</v>
      </c>
      <c r="I25" s="378">
        <f t="shared" si="5"/>
        <v>25000</v>
      </c>
      <c r="J25" s="378">
        <f t="shared" si="5"/>
        <v>24791.666666666664</v>
      </c>
      <c r="K25" s="378">
        <f t="shared" si="5"/>
        <v>24583.333333333332</v>
      </c>
      <c r="L25" s="378">
        <f t="shared" si="5"/>
        <v>24375</v>
      </c>
      <c r="M25" s="378">
        <f t="shared" si="5"/>
        <v>24166.666666666668</v>
      </c>
      <c r="N25" s="378">
        <f t="shared" si="5"/>
        <v>23958.333333333336</v>
      </c>
      <c r="O25" s="378">
        <f t="shared" si="5"/>
        <v>23750</v>
      </c>
      <c r="P25" s="378">
        <f t="shared" si="5"/>
        <v>23541.666666666668</v>
      </c>
      <c r="Q25" s="378">
        <f t="shared" si="5"/>
        <v>23333.333333333336</v>
      </c>
      <c r="R25" s="378">
        <f t="shared" si="5"/>
        <v>23125</v>
      </c>
      <c r="S25" s="378">
        <f t="shared" si="5"/>
        <v>22916.666666666668</v>
      </c>
      <c r="T25" s="378">
        <f t="shared" si="5"/>
        <v>22708.333333333336</v>
      </c>
      <c r="U25" s="378">
        <f t="shared" si="5"/>
        <v>22500</v>
      </c>
      <c r="V25" s="378">
        <f t="shared" si="5"/>
        <v>22291.666666666668</v>
      </c>
      <c r="W25" s="378">
        <f t="shared" si="5"/>
        <v>22083.333333333332</v>
      </c>
      <c r="X25" s="378">
        <f t="shared" si="5"/>
        <v>21875</v>
      </c>
      <c r="Y25" s="378">
        <f t="shared" si="5"/>
        <v>21666.666666666668</v>
      </c>
      <c r="Z25" s="378">
        <f t="shared" si="5"/>
        <v>21458.333333333332</v>
      </c>
      <c r="AA25" s="378">
        <f t="shared" si="5"/>
        <v>21250</v>
      </c>
      <c r="AB25" s="378">
        <f t="shared" si="5"/>
        <v>20833.333333333332</v>
      </c>
      <c r="AC25" s="358"/>
    </row>
    <row r="26" spans="2:29">
      <c r="B26" s="14"/>
      <c r="C26" s="381" t="s">
        <v>261</v>
      </c>
      <c r="D26" s="380">
        <f t="shared" si="2"/>
        <v>499999.99999999983</v>
      </c>
      <c r="E26" s="380">
        <f>IF(Параметры!$E$30=кредит!$A$5,кредит!B10,кредит!B20)</f>
        <v>20833.333333333332</v>
      </c>
      <c r="F26" s="380">
        <f>IF(Параметры!$E$30=кредит!$A$5,кредит!C10,кредит!C20)</f>
        <v>20833.333333333332</v>
      </c>
      <c r="G26" s="380">
        <f>IF(Параметры!$E$30=кредит!$A$5,кредит!D10,кредит!D20)</f>
        <v>20833.333333333332</v>
      </c>
      <c r="H26" s="380">
        <f>IF(Параметры!$E$30=кредит!$A$5,кредит!E10,кредит!E20)</f>
        <v>20833.333333333332</v>
      </c>
      <c r="I26" s="380">
        <f>IF(Параметры!$E$30=кредит!$A$5,кредит!F10,кредит!F20)</f>
        <v>20833.333333333332</v>
      </c>
      <c r="J26" s="380">
        <f>IF(Параметры!$E$30=кредит!$A$5,кредит!G10,кредит!G20)</f>
        <v>20833.333333333332</v>
      </c>
      <c r="K26" s="380">
        <f>IF(Параметры!$E$30=кредит!$A$5,кредит!H10,кредит!H20)</f>
        <v>20833.333333333332</v>
      </c>
      <c r="L26" s="380">
        <f>IF(Параметры!$E$30=кредит!$A$5,кредит!I10,кредит!I20)</f>
        <v>20833.333333333332</v>
      </c>
      <c r="M26" s="380">
        <f>IF(Параметры!$E$30=кредит!$A$5,кредит!J10,кредит!J20)</f>
        <v>20833.333333333332</v>
      </c>
      <c r="N26" s="380">
        <f>IF(Параметры!$E$30=кредит!$A$5,кредит!K10,кредит!K20)</f>
        <v>20833.333333333332</v>
      </c>
      <c r="O26" s="380">
        <f>IF(Параметры!$E$30=кредит!$A$5,кредит!L10,кредит!L20)</f>
        <v>20833.333333333332</v>
      </c>
      <c r="P26" s="380">
        <f>IF(Параметры!$E$30=кредит!$A$5,кредит!M10,кредит!M20)</f>
        <v>20833.333333333332</v>
      </c>
      <c r="Q26" s="380">
        <f>IF(Параметры!$E$30=кредит!$A$5,кредит!N10,кредит!N20)</f>
        <v>20833.333333333332</v>
      </c>
      <c r="R26" s="380">
        <f>IF(Параметры!$E$30=кредит!$A$5,кредит!O10,кредит!O20)</f>
        <v>20833.333333333332</v>
      </c>
      <c r="S26" s="380">
        <f>IF(Параметры!$E$30=кредит!$A$5,кредит!P10,кредит!P20)</f>
        <v>20833.333333333332</v>
      </c>
      <c r="T26" s="380">
        <f>IF(Параметры!$E$30=кредит!$A$5,кредит!Q10,кредит!Q20)</f>
        <v>20833.333333333332</v>
      </c>
      <c r="U26" s="380">
        <f>IF(Параметры!$E$30=кредит!$A$5,кредит!R10,кредит!R20)</f>
        <v>20833.333333333332</v>
      </c>
      <c r="V26" s="380">
        <f>IF(Параметры!$E$30=кредит!$A$5,кредит!S10,кредит!S20)</f>
        <v>20833.333333333332</v>
      </c>
      <c r="W26" s="380">
        <f>IF(Параметры!$E$30=кредит!$A$5,кредит!T10,кредит!T20)</f>
        <v>20833.333333333332</v>
      </c>
      <c r="X26" s="380">
        <f>IF(Параметры!$E$30=кредит!$A$5,кредит!U10,кредит!U20)</f>
        <v>20833.333333333332</v>
      </c>
      <c r="Y26" s="380">
        <f>IF(Параметры!$E$30=кредит!$A$5,кредит!V10,кредит!V20)</f>
        <v>20833.333333333332</v>
      </c>
      <c r="Z26" s="380">
        <f>IF(Параметры!$E$30=кредит!$A$5,кредит!W10,кредит!W20)</f>
        <v>20833.333333333332</v>
      </c>
      <c r="AA26" s="380">
        <f>IF(Параметры!$E$30=кредит!$A$5,кредит!X10,кредит!X20)</f>
        <v>20833.333333333332</v>
      </c>
      <c r="AB26" s="380">
        <f>IF(Параметры!$E$30=кредит!$A$5,кредит!Y10,кредит!Y20)</f>
        <v>20833.333333333332</v>
      </c>
      <c r="AC26" s="358"/>
    </row>
    <row r="27" spans="2:29">
      <c r="B27" s="14"/>
      <c r="C27" s="381" t="s">
        <v>262</v>
      </c>
      <c r="D27" s="380">
        <f t="shared" si="2"/>
        <v>62291.666666666708</v>
      </c>
      <c r="E27" s="380">
        <f>IF(Параметры!$E$30=кредит!$A$5,кредит!B11,кредит!B19)</f>
        <v>5000</v>
      </c>
      <c r="F27" s="380">
        <f>IF(Параметры!$E$30=кредит!$A$5,кредит!C11,кредит!C19)</f>
        <v>4791.666666666667</v>
      </c>
      <c r="G27" s="380">
        <f>IF(Параметры!$E$30=кредит!$A$5,кредит!D11,кредит!D19)</f>
        <v>4583.333333333333</v>
      </c>
      <c r="H27" s="380">
        <f>IF(Параметры!$E$30=кредит!$A$5,кредит!E11,кредит!E19)</f>
        <v>4375.0000000000009</v>
      </c>
      <c r="I27" s="380">
        <f>IF(Параметры!$E$30=кредит!$A$5,кредит!F11,кредит!F19)</f>
        <v>4166.666666666667</v>
      </c>
      <c r="J27" s="380">
        <f>IF(Параметры!$E$30=кредит!$A$5,кредит!G11,кредит!G19)</f>
        <v>3958.3333333333339</v>
      </c>
      <c r="K27" s="380">
        <f>IF(Параметры!$E$30=кредит!$A$5,кредит!H11,кредит!H19)</f>
        <v>3750.0000000000014</v>
      </c>
      <c r="L27" s="380">
        <f>IF(Параметры!$E$30=кредит!$A$5,кредит!I11,кредит!I19)</f>
        <v>3541.6666666666679</v>
      </c>
      <c r="M27" s="380">
        <f>IF(Параметры!$E$30=кредит!$A$5,кредит!J11,кредит!J19)</f>
        <v>3333.3333333333344</v>
      </c>
      <c r="N27" s="380">
        <f>IF(Параметры!$E$30=кредит!$A$5,кредит!K11,кредит!K19)</f>
        <v>3125.0000000000018</v>
      </c>
      <c r="O27" s="380">
        <f>IF(Параметры!$E$30=кредит!$A$5,кредит!L11,кредит!L19)</f>
        <v>2916.6666666666683</v>
      </c>
      <c r="P27" s="380">
        <f>IF(Параметры!$E$30=кредит!$A$5,кредит!M11,кредит!M19)</f>
        <v>2708.3333333333353</v>
      </c>
      <c r="Q27" s="380">
        <f>IF(Параметры!$E$30=кредит!$A$5,кредит!N11,кредит!N19)</f>
        <v>2500.0000000000018</v>
      </c>
      <c r="R27" s="380">
        <f>IF(Параметры!$E$30=кредит!$A$5,кредит!O11,кредит!O19)</f>
        <v>2291.6666666666683</v>
      </c>
      <c r="S27" s="380">
        <f>IF(Параметры!$E$30=кредит!$A$5,кредит!P11,кредит!P19)</f>
        <v>2083.3333333333353</v>
      </c>
      <c r="T27" s="380">
        <f>IF(Параметры!$E$30=кредит!$A$5,кредит!Q11,кредит!Q19)</f>
        <v>1875.0000000000018</v>
      </c>
      <c r="U27" s="380">
        <f>IF(Параметры!$E$30=кредит!$A$5,кредит!R11,кредит!R19)</f>
        <v>1666.6666666666681</v>
      </c>
      <c r="V27" s="380">
        <f>IF(Параметры!$E$30=кредит!$A$5,кредит!S11,кредит!S19)</f>
        <v>1458.3333333333348</v>
      </c>
      <c r="W27" s="380">
        <f>IF(Параметры!$E$30=кредит!$A$5,кредит!T11,кредит!T19)</f>
        <v>1250.0000000000016</v>
      </c>
      <c r="X27" s="380">
        <f>IF(Параметры!$E$30=кредит!$A$5,кредит!U11,кредит!U19)</f>
        <v>1041.6666666666683</v>
      </c>
      <c r="Y27" s="380">
        <f>IF(Параметры!$E$30=кредит!$A$5,кредит!V11,кредит!V19)</f>
        <v>833.33333333333496</v>
      </c>
      <c r="Z27" s="380">
        <f>IF(Параметры!$E$30=кредит!$A$5,кредит!W11,кредит!W19)</f>
        <v>625.00000000000171</v>
      </c>
      <c r="AA27" s="380">
        <f>IF(Параметры!$E$30=кредит!$A$5,кредит!X11,кредит!X19)</f>
        <v>416.66666666666839</v>
      </c>
      <c r="AB27" s="380">
        <f>IF(Параметры!$E$30=кредит!$A$5,кредит!Y11,кредит!Y19)</f>
        <v>0</v>
      </c>
      <c r="AC27" s="358"/>
    </row>
    <row r="28" spans="2:29">
      <c r="B28" s="14"/>
      <c r="C28" s="349" t="s">
        <v>263</v>
      </c>
      <c r="D28" s="360">
        <f>SUM(E28:AB28)</f>
        <v>573400</v>
      </c>
      <c r="E28" s="355">
        <f>Инвестиции!F27</f>
        <v>573400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8"/>
    </row>
    <row r="29" spans="2:29">
      <c r="B29" s="14"/>
      <c r="C29" s="349" t="s">
        <v>264</v>
      </c>
      <c r="D29" s="360">
        <f>D11-D12</f>
        <v>16199653.554848611</v>
      </c>
      <c r="E29" s="360">
        <f>E11-E12</f>
        <v>-195.09308333332592</v>
      </c>
      <c r="F29" s="360">
        <f t="shared" ref="F29:AB29" si="6">F11-F12</f>
        <v>129593.39060000001</v>
      </c>
      <c r="G29" s="360">
        <f t="shared" si="6"/>
        <v>180515.18358333333</v>
      </c>
      <c r="H29" s="360">
        <f t="shared" si="6"/>
        <v>223301.98726666661</v>
      </c>
      <c r="I29" s="360">
        <f t="shared" si="6"/>
        <v>257497.94969999997</v>
      </c>
      <c r="J29" s="360">
        <f t="shared" si="6"/>
        <v>386283.23363083333</v>
      </c>
      <c r="K29" s="360">
        <f t="shared" si="6"/>
        <v>414157.21413304162</v>
      </c>
      <c r="L29" s="360">
        <f t="shared" si="6"/>
        <v>464780.21378449374</v>
      </c>
      <c r="M29" s="360">
        <f t="shared" si="6"/>
        <v>431955.7605323118</v>
      </c>
      <c r="N29" s="360">
        <f t="shared" si="6"/>
        <v>421088.78949590598</v>
      </c>
      <c r="O29" s="360">
        <f t="shared" si="6"/>
        <v>373858.3797810757</v>
      </c>
      <c r="P29" s="360">
        <f t="shared" si="6"/>
        <v>411130.92443591205</v>
      </c>
      <c r="Q29" s="360">
        <f t="shared" si="6"/>
        <v>307294.69303030043</v>
      </c>
      <c r="R29" s="360">
        <f t="shared" si="6"/>
        <v>475868.64368181548</v>
      </c>
      <c r="S29" s="360">
        <f t="shared" si="6"/>
        <v>591172.91244923964</v>
      </c>
      <c r="T29" s="360">
        <f t="shared" si="6"/>
        <v>777611.00161336828</v>
      </c>
      <c r="U29" s="360">
        <f t="shared" si="6"/>
        <v>952918.07513153646</v>
      </c>
      <c r="V29" s="360">
        <f t="shared" si="6"/>
        <v>1124091.9744151966</v>
      </c>
      <c r="W29" s="360">
        <f t="shared" si="6"/>
        <v>1280516.4221032478</v>
      </c>
      <c r="X29" s="360">
        <f t="shared" si="6"/>
        <v>1448485.0872773475</v>
      </c>
      <c r="Y29" s="360">
        <f t="shared" si="6"/>
        <v>1640011.942877705</v>
      </c>
      <c r="Z29" s="360">
        <f t="shared" si="6"/>
        <v>1657416.599072306</v>
      </c>
      <c r="AA29" s="360">
        <f t="shared" si="6"/>
        <v>1208598.018727923</v>
      </c>
      <c r="AB29" s="360">
        <f t="shared" si="6"/>
        <v>1041700.2506083881</v>
      </c>
      <c r="AC29" s="358"/>
    </row>
    <row r="30" spans="2:29">
      <c r="B30" s="14"/>
      <c r="C30" s="352" t="s">
        <v>265</v>
      </c>
      <c r="D30" s="357">
        <f>SUM(E30:AB30)</f>
        <v>1224646.7617312379</v>
      </c>
      <c r="E30" s="61">
        <f>SUM(E35:E37)</f>
        <v>8030.03</v>
      </c>
      <c r="F30" s="61">
        <f t="shared" ref="F30:AB30" si="7">SUM(F35:F37)</f>
        <v>15984.152</v>
      </c>
      <c r="G30" s="61">
        <f t="shared" si="7"/>
        <v>19254.23</v>
      </c>
      <c r="H30" s="61">
        <f t="shared" si="7"/>
        <v>21999.751999999997</v>
      </c>
      <c r="I30" s="61">
        <f t="shared" si="7"/>
        <v>24191.323999999997</v>
      </c>
      <c r="J30" s="61">
        <f t="shared" si="7"/>
        <v>32482.153699999999</v>
      </c>
      <c r="K30" s="61">
        <f t="shared" si="7"/>
        <v>34266.075064999997</v>
      </c>
      <c r="L30" s="61">
        <f t="shared" si="7"/>
        <v>37516.886434250002</v>
      </c>
      <c r="M30" s="61">
        <f t="shared" si="7"/>
        <v>35386.884075162496</v>
      </c>
      <c r="N30" s="61">
        <f t="shared" si="7"/>
        <v>34672.73226196062</v>
      </c>
      <c r="O30" s="61">
        <f t="shared" si="7"/>
        <v>31613.812774706654</v>
      </c>
      <c r="P30" s="61">
        <f t="shared" si="7"/>
        <v>34003.767293019584</v>
      </c>
      <c r="Q30" s="61">
        <f t="shared" si="7"/>
        <v>27294.82168921873</v>
      </c>
      <c r="R30" s="61">
        <f t="shared" si="7"/>
        <v>38151.282773679661</v>
      </c>
      <c r="S30" s="61">
        <f t="shared" si="7"/>
        <v>45572.836912363651</v>
      </c>
      <c r="T30" s="61">
        <f t="shared" si="7"/>
        <v>57581.203757981828</v>
      </c>
      <c r="U30" s="61">
        <f t="shared" si="7"/>
        <v>68871.826445880914</v>
      </c>
      <c r="V30" s="61">
        <f t="shared" si="7"/>
        <v>79895.936018174951</v>
      </c>
      <c r="W30" s="61">
        <f t="shared" si="7"/>
        <v>89968.979394083697</v>
      </c>
      <c r="X30" s="61">
        <f t="shared" si="7"/>
        <v>100786.41078628786</v>
      </c>
      <c r="Y30" s="61">
        <f t="shared" si="7"/>
        <v>113122.90872935228</v>
      </c>
      <c r="Z30" s="61">
        <f t="shared" si="7"/>
        <v>114231.75276124488</v>
      </c>
      <c r="AA30" s="61">
        <f t="shared" si="7"/>
        <v>85277.841078640922</v>
      </c>
      <c r="AB30" s="61">
        <f t="shared" si="7"/>
        <v>74489.161780229217</v>
      </c>
      <c r="AC30" s="358"/>
    </row>
    <row r="31" spans="2:29">
      <c r="B31" s="14"/>
      <c r="C31" s="349" t="s">
        <v>188</v>
      </c>
      <c r="D31" s="360">
        <f>SUM(E31:AB31)</f>
        <v>14975006.793117376</v>
      </c>
      <c r="E31" s="355">
        <f>E29-E30</f>
        <v>-8225.1230833333248</v>
      </c>
      <c r="F31" s="355">
        <f t="shared" ref="F31:AB31" si="8">F29-F30</f>
        <v>113609.23860000001</v>
      </c>
      <c r="G31" s="355">
        <f t="shared" si="8"/>
        <v>161260.95358333332</v>
      </c>
      <c r="H31" s="355">
        <f t="shared" si="8"/>
        <v>201302.2352666666</v>
      </c>
      <c r="I31" s="355">
        <f t="shared" si="8"/>
        <v>233306.62569999998</v>
      </c>
      <c r="J31" s="355">
        <f t="shared" si="8"/>
        <v>353801.07993083331</v>
      </c>
      <c r="K31" s="355">
        <f t="shared" si="8"/>
        <v>379891.13906804164</v>
      </c>
      <c r="L31" s="355">
        <f t="shared" si="8"/>
        <v>427263.32735024375</v>
      </c>
      <c r="M31" s="355">
        <f t="shared" si="8"/>
        <v>396568.87645714928</v>
      </c>
      <c r="N31" s="355">
        <f t="shared" si="8"/>
        <v>386416.05723394535</v>
      </c>
      <c r="O31" s="355">
        <f t="shared" si="8"/>
        <v>342244.56700636906</v>
      </c>
      <c r="P31" s="355">
        <f t="shared" si="8"/>
        <v>377127.15714289248</v>
      </c>
      <c r="Q31" s="355">
        <f t="shared" si="8"/>
        <v>279999.87134108169</v>
      </c>
      <c r="R31" s="355">
        <f t="shared" si="8"/>
        <v>437717.36090813583</v>
      </c>
      <c r="S31" s="355">
        <f t="shared" si="8"/>
        <v>545600.07553687599</v>
      </c>
      <c r="T31" s="355">
        <f t="shared" si="8"/>
        <v>720029.79785538651</v>
      </c>
      <c r="U31" s="355">
        <f t="shared" si="8"/>
        <v>884046.24868565553</v>
      </c>
      <c r="V31" s="355">
        <f t="shared" si="8"/>
        <v>1044196.0383970216</v>
      </c>
      <c r="W31" s="355">
        <f t="shared" si="8"/>
        <v>1190547.4427091642</v>
      </c>
      <c r="X31" s="355">
        <f t="shared" si="8"/>
        <v>1347698.6764910596</v>
      </c>
      <c r="Y31" s="355">
        <f t="shared" si="8"/>
        <v>1526889.0341483527</v>
      </c>
      <c r="Z31" s="355">
        <f t="shared" si="8"/>
        <v>1543184.8463110612</v>
      </c>
      <c r="AA31" s="355">
        <f t="shared" si="8"/>
        <v>1123320.1776492822</v>
      </c>
      <c r="AB31" s="355">
        <f t="shared" si="8"/>
        <v>967211.08882815891</v>
      </c>
      <c r="AC31" s="358"/>
    </row>
    <row r="32" spans="2:29">
      <c r="B32" s="14"/>
      <c r="C32" s="361" t="s">
        <v>266</v>
      </c>
      <c r="D32" s="362"/>
      <c r="E32" s="61">
        <f>E31</f>
        <v>-8225.1230833333248</v>
      </c>
      <c r="F32" s="61">
        <f>F31+E32</f>
        <v>105384.11551666669</v>
      </c>
      <c r="G32" s="61">
        <f>G31+F32</f>
        <v>266645.06910000002</v>
      </c>
      <c r="H32" s="61">
        <f>H31+G32</f>
        <v>467947.30436666659</v>
      </c>
      <c r="I32" s="61">
        <f>I31+H32</f>
        <v>701253.93006666657</v>
      </c>
      <c r="J32" s="61">
        <f>J31+I32</f>
        <v>1055055.0099974999</v>
      </c>
      <c r="K32" s="61">
        <f t="shared" ref="K32:AB32" si="9">K31+J32</f>
        <v>1434946.1490655416</v>
      </c>
      <c r="L32" s="61">
        <f t="shared" si="9"/>
        <v>1862209.4764157853</v>
      </c>
      <c r="M32" s="61">
        <f t="shared" si="9"/>
        <v>2258778.3528729347</v>
      </c>
      <c r="N32" s="61">
        <f t="shared" si="9"/>
        <v>2645194.4101068801</v>
      </c>
      <c r="O32" s="61">
        <f t="shared" si="9"/>
        <v>2987438.9771132492</v>
      </c>
      <c r="P32" s="61">
        <f t="shared" si="9"/>
        <v>3364566.1342561417</v>
      </c>
      <c r="Q32" s="61">
        <f t="shared" si="9"/>
        <v>3644566.0055972235</v>
      </c>
      <c r="R32" s="61">
        <f t="shared" si="9"/>
        <v>4082283.3665053593</v>
      </c>
      <c r="S32" s="61">
        <f t="shared" si="9"/>
        <v>4627883.4420422353</v>
      </c>
      <c r="T32" s="61">
        <f t="shared" si="9"/>
        <v>5347913.2398976218</v>
      </c>
      <c r="U32" s="61">
        <f t="shared" si="9"/>
        <v>6231959.488583277</v>
      </c>
      <c r="V32" s="61">
        <f t="shared" si="9"/>
        <v>7276155.5269802986</v>
      </c>
      <c r="W32" s="61">
        <f t="shared" si="9"/>
        <v>8466702.9696894623</v>
      </c>
      <c r="X32" s="61">
        <f t="shared" si="9"/>
        <v>9814401.6461805217</v>
      </c>
      <c r="Y32" s="61">
        <f t="shared" si="9"/>
        <v>11341290.680328874</v>
      </c>
      <c r="Z32" s="61">
        <f t="shared" si="9"/>
        <v>12884475.526639935</v>
      </c>
      <c r="AA32" s="61">
        <f t="shared" si="9"/>
        <v>14007795.704289217</v>
      </c>
      <c r="AB32" s="61">
        <f t="shared" si="9"/>
        <v>14975006.793117376</v>
      </c>
      <c r="AC32" s="358"/>
    </row>
    <row r="33" spans="2:29" ht="24.75">
      <c r="B33" s="363"/>
      <c r="C33" s="364" t="s">
        <v>267</v>
      </c>
      <c r="D33" s="365"/>
      <c r="E33" s="61">
        <f>E32-E28</f>
        <v>-581625.12308333337</v>
      </c>
      <c r="F33" s="61">
        <f>F31+E33</f>
        <v>-468015.88448333333</v>
      </c>
      <c r="G33" s="61">
        <f>G31+F33</f>
        <v>-306754.93090000004</v>
      </c>
      <c r="H33" s="61">
        <f>H31+G33</f>
        <v>-105452.69563333344</v>
      </c>
      <c r="I33" s="61">
        <f>I31+H33</f>
        <v>127853.93006666654</v>
      </c>
      <c r="J33" s="61">
        <f t="shared" ref="J33:AA33" si="10">J31+I33</f>
        <v>481655.00999749987</v>
      </c>
      <c r="K33" s="61">
        <f t="shared" si="10"/>
        <v>861546.14906554157</v>
      </c>
      <c r="L33" s="61">
        <f t="shared" si="10"/>
        <v>1288809.4764157853</v>
      </c>
      <c r="M33" s="61">
        <f t="shared" si="10"/>
        <v>1685378.3528729347</v>
      </c>
      <c r="N33" s="61">
        <f t="shared" si="10"/>
        <v>2071794.4101068801</v>
      </c>
      <c r="O33" s="61">
        <f t="shared" si="10"/>
        <v>2414038.9771132492</v>
      </c>
      <c r="P33" s="61">
        <f t="shared" si="10"/>
        <v>2791166.1342561417</v>
      </c>
      <c r="Q33" s="61">
        <f t="shared" si="10"/>
        <v>3071166.0055972235</v>
      </c>
      <c r="R33" s="61">
        <f t="shared" si="10"/>
        <v>3508883.3665053593</v>
      </c>
      <c r="S33" s="61">
        <f t="shared" si="10"/>
        <v>4054483.4420422353</v>
      </c>
      <c r="T33" s="61">
        <f t="shared" si="10"/>
        <v>4774513.2398976218</v>
      </c>
      <c r="U33" s="61">
        <f t="shared" si="10"/>
        <v>5658559.488583277</v>
      </c>
      <c r="V33" s="61">
        <f t="shared" si="10"/>
        <v>6702755.5269802986</v>
      </c>
      <c r="W33" s="61">
        <f t="shared" si="10"/>
        <v>7893302.9696894623</v>
      </c>
      <c r="X33" s="61">
        <f t="shared" si="10"/>
        <v>9241001.6461805217</v>
      </c>
      <c r="Y33" s="61">
        <f t="shared" si="10"/>
        <v>10767890.680328874</v>
      </c>
      <c r="Z33" s="61">
        <f t="shared" si="10"/>
        <v>12311075.526639935</v>
      </c>
      <c r="AA33" s="61">
        <f t="shared" si="10"/>
        <v>13434395.704289217</v>
      </c>
      <c r="AB33" s="61">
        <f>AB31+AA33</f>
        <v>14401606.793117376</v>
      </c>
      <c r="AC33" s="366"/>
    </row>
    <row r="34" spans="2:29">
      <c r="B34" s="14"/>
      <c r="C34" s="349" t="s">
        <v>268</v>
      </c>
      <c r="D34" s="367"/>
      <c r="E34" s="368" t="str">
        <f>IF(E33&lt;0,"",E10)</f>
        <v/>
      </c>
      <c r="F34" s="368" t="str">
        <f>IF(F33&lt;0,"",IF(E33&gt;0,"",F10))</f>
        <v/>
      </c>
      <c r="G34" s="368" t="str">
        <f t="shared" ref="G34:AB34" si="11">IF(G33&lt;0,"",IF(F33&gt;0,"",G10))</f>
        <v/>
      </c>
      <c r="H34" s="368" t="str">
        <f t="shared" si="11"/>
        <v/>
      </c>
      <c r="I34" s="368">
        <f t="shared" si="11"/>
        <v>5</v>
      </c>
      <c r="J34" s="368" t="str">
        <f t="shared" si="11"/>
        <v/>
      </c>
      <c r="K34" s="368" t="str">
        <f t="shared" si="11"/>
        <v/>
      </c>
      <c r="L34" s="368" t="str">
        <f t="shared" si="11"/>
        <v/>
      </c>
      <c r="M34" s="368" t="str">
        <f t="shared" si="11"/>
        <v/>
      </c>
      <c r="N34" s="368" t="str">
        <f t="shared" si="11"/>
        <v/>
      </c>
      <c r="O34" s="368" t="str">
        <f t="shared" si="11"/>
        <v/>
      </c>
      <c r="P34" s="368" t="str">
        <f>IF(P33&lt;0,"",IF(O33&gt;0,"",P10))</f>
        <v/>
      </c>
      <c r="Q34" s="368" t="str">
        <f t="shared" si="11"/>
        <v/>
      </c>
      <c r="R34" s="368" t="str">
        <f t="shared" si="11"/>
        <v/>
      </c>
      <c r="S34" s="368" t="str">
        <f t="shared" si="11"/>
        <v/>
      </c>
      <c r="T34" s="368" t="str">
        <f t="shared" si="11"/>
        <v/>
      </c>
      <c r="U34" s="368" t="str">
        <f t="shared" si="11"/>
        <v/>
      </c>
      <c r="V34" s="368" t="str">
        <f t="shared" si="11"/>
        <v/>
      </c>
      <c r="W34" s="368" t="str">
        <f t="shared" si="11"/>
        <v/>
      </c>
      <c r="X34" s="368" t="str">
        <f t="shared" si="11"/>
        <v/>
      </c>
      <c r="Y34" s="368" t="str">
        <f t="shared" si="11"/>
        <v/>
      </c>
      <c r="Z34" s="368" t="str">
        <f t="shared" si="11"/>
        <v/>
      </c>
      <c r="AA34" s="368" t="str">
        <f t="shared" si="11"/>
        <v/>
      </c>
      <c r="AB34" s="368" t="str">
        <f t="shared" si="11"/>
        <v/>
      </c>
      <c r="AC34" s="359"/>
    </row>
    <row r="35" spans="2:29">
      <c r="B35" s="369"/>
      <c r="C35" s="370" t="s">
        <v>88</v>
      </c>
      <c r="D35" s="371"/>
      <c r="E35" s="442" t="str">
        <f>IF(Параметры!$E$20=15%,IF(внутр!A49&lt;=0,"-",(БДР!E11-БДР!E12)*0.15),"-")</f>
        <v>-</v>
      </c>
      <c r="F35" s="442" t="str">
        <f>IF(Параметры!$E$20=15%,IF(внутр!B49&lt;=0,"-",(БДР!F11-БДР!F12)*0.15),"-")</f>
        <v>-</v>
      </c>
      <c r="G35" s="442" t="str">
        <f>IF(Параметры!$E$20=15%,IF(внутр!C49&lt;=0,"-",(БДР!G11-БДР!G12)*0.15),"-")</f>
        <v>-</v>
      </c>
      <c r="H35" s="442" t="str">
        <f>IF(Параметры!$E$20=15%,IF(внутр!D49&lt;=0,"-",(БДР!H11-БДР!H12)*0.15),"-")</f>
        <v>-</v>
      </c>
      <c r="I35" s="442" t="str">
        <f>IF(Параметры!$E$20=15%,IF(внутр!E49&lt;=0,"-",(БДР!I11-БДР!I12)*0.15),"-")</f>
        <v>-</v>
      </c>
      <c r="J35" s="442" t="str">
        <f>IF(Параметры!$E$20=15%,IF(внутр!F49&lt;=0,"-",(БДР!J11-БДР!J12)*0.15),"-")</f>
        <v>-</v>
      </c>
      <c r="K35" s="442" t="str">
        <f>IF(Параметры!$E$20=15%,IF(внутр!G49&lt;=0,"-",(БДР!K11-БДР!K12)*0.15),"-")</f>
        <v>-</v>
      </c>
      <c r="L35" s="442" t="str">
        <f>IF(Параметры!$E$20=15%,IF(внутр!H49&lt;=0,"-",(БДР!L11-БДР!L12)*0.15),"-")</f>
        <v>-</v>
      </c>
      <c r="M35" s="442" t="str">
        <f>IF(Параметры!$E$20=15%,IF(внутр!I49&lt;=0,"-",(БДР!M11-БДР!M12)*0.15),"-")</f>
        <v>-</v>
      </c>
      <c r="N35" s="442" t="str">
        <f>IF(Параметры!$E$20=15%,IF(внутр!J49&lt;=0,"-",(БДР!N11-БДР!N12)*0.15),"-")</f>
        <v>-</v>
      </c>
      <c r="O35" s="442" t="str">
        <f>IF(Параметры!$E$20=15%,IF(внутр!K49&lt;=0,"-",(БДР!O11-БДР!O12)*0.15),"-")</f>
        <v>-</v>
      </c>
      <c r="P35" s="442" t="str">
        <f>IF(Параметры!$E$20=15%,IF(внутр!L49&lt;=0,"-",(БДР!P11-БДР!P12)*0.15),"-")</f>
        <v>-</v>
      </c>
      <c r="Q35" s="442" t="str">
        <f>IF(Параметры!$E$20=15%,IF(внутр!M49&lt;=0,"-",(БДР!Q11-БДР!Q12)*0.15),"-")</f>
        <v>-</v>
      </c>
      <c r="R35" s="442" t="str">
        <f>IF(Параметры!$E$20=15%,IF(внутр!N49&lt;=0,"-",(БДР!R11-БДР!R12)*0.15),"-")</f>
        <v>-</v>
      </c>
      <c r="S35" s="442" t="str">
        <f>IF(Параметры!$E$20=15%,IF(внутр!O49&lt;=0,"-",(БДР!S11-БДР!S12)*0.15),"-")</f>
        <v>-</v>
      </c>
      <c r="T35" s="442" t="str">
        <f>IF(Параметры!$E$20=15%,IF(внутр!P49&lt;=0,"-",(БДР!T11-БДР!T12)*0.15),"-")</f>
        <v>-</v>
      </c>
      <c r="U35" s="442" t="str">
        <f>IF(Параметры!$E$20=15%,IF(внутр!Q49&lt;=0,"-",(БДР!U11-БДР!U12)*0.15),"-")</f>
        <v>-</v>
      </c>
      <c r="V35" s="442" t="str">
        <f>IF(Параметры!$E$20=15%,IF(внутр!R49&lt;=0,"-",(БДР!V11-БДР!V12)*0.15),"-")</f>
        <v>-</v>
      </c>
      <c r="W35" s="442" t="str">
        <f>IF(Параметры!$E$20=15%,IF(внутр!S49&lt;=0,"-",(БДР!W11-БДР!W12)*0.15),"-")</f>
        <v>-</v>
      </c>
      <c r="X35" s="442" t="str">
        <f>IF(Параметры!$E$20=15%,IF(внутр!T49&lt;=0,"-",(БДР!X11-БДР!X12)*0.15),"-")</f>
        <v>-</v>
      </c>
      <c r="Y35" s="442" t="str">
        <f>IF(Параметры!$E$20=15%,IF(внутр!U49&lt;=0,"-",(БДР!Y11-БДР!Y12)*0.15),"-")</f>
        <v>-</v>
      </c>
      <c r="Z35" s="442" t="str">
        <f>IF(Параметры!$E$20=15%,IF(внутр!V49&lt;=0,"-",(БДР!Z11-БДР!Z12)*0.15),"-")</f>
        <v>-</v>
      </c>
      <c r="AA35" s="442" t="str">
        <f>IF(Параметры!$E$20=15%,IF(внутр!W49&lt;=0,"-",(БДР!AA11-БДР!AA12)*0.15),"-")</f>
        <v>-</v>
      </c>
      <c r="AB35" s="442" t="str">
        <f>IF(Параметры!$E$20=15%,IF(внутр!X49&lt;=0,"-",(БДР!AB11-БДР!AB12)*0.15),"-")</f>
        <v>-</v>
      </c>
      <c r="AC35" s="372"/>
    </row>
    <row r="36" spans="2:29">
      <c r="B36" s="14"/>
      <c r="C36" s="370" t="s">
        <v>15</v>
      </c>
      <c r="D36" s="371"/>
      <c r="E36" s="442">
        <f>IF(Параметры!$E$20=6%,E11*0.06,IF(Параметры!$E$20=15%, "-"))</f>
        <v>4530.03</v>
      </c>
      <c r="F36" s="442">
        <f>IF(Параметры!$E$20=6%,F11*0.06,IF(Параметры!$E$20=15%, "-"))</f>
        <v>12484.152</v>
      </c>
      <c r="G36" s="442">
        <f>IF(Параметры!$E$20=6%,G11*0.06,IF(Параметры!$E$20=15%, "-"))</f>
        <v>15754.23</v>
      </c>
      <c r="H36" s="442">
        <f>IF(Параметры!$E$20=6%,H11*0.06,IF(Параметры!$E$20=15%, "-"))</f>
        <v>18499.751999999997</v>
      </c>
      <c r="I36" s="442">
        <f>IF(Параметры!$E$20=6%,I11*0.06,IF(Параметры!$E$20=15%, "-"))</f>
        <v>20691.323999999997</v>
      </c>
      <c r="J36" s="442">
        <f>IF(Параметры!$E$20=6%,J11*0.06,IF(Параметры!$E$20=15%, "-"))</f>
        <v>28982.153699999999</v>
      </c>
      <c r="K36" s="442">
        <f>IF(Параметры!$E$20=6%,K11*0.06,IF(Параметры!$E$20=15%, "-"))</f>
        <v>30766.075064999997</v>
      </c>
      <c r="L36" s="442">
        <f>IF(Параметры!$E$20=6%,L11*0.06,IF(Параметры!$E$20=15%, "-"))</f>
        <v>34016.886434250002</v>
      </c>
      <c r="M36" s="442">
        <f>IF(Параметры!$E$20=6%,M11*0.06,IF(Параметры!$E$20=15%, "-"))</f>
        <v>31886.884075162499</v>
      </c>
      <c r="N36" s="442">
        <f>IF(Параметры!$E$20=6%,N11*0.06,IF(Параметры!$E$20=15%, "-"))</f>
        <v>31172.73226196062</v>
      </c>
      <c r="O36" s="442">
        <f>IF(Параметры!$E$20=6%,O11*0.06,IF(Параметры!$E$20=15%, "-"))</f>
        <v>28113.812774706654</v>
      </c>
      <c r="P36" s="442">
        <f>IF(Параметры!$E$20=6%,P11*0.06,IF(Параметры!$E$20=15%, "-"))</f>
        <v>30503.767293019584</v>
      </c>
      <c r="Q36" s="442">
        <f>IF(Параметры!$E$20=6%,Q11*0.06,IF(Параметры!$E$20=15%, "-"))</f>
        <v>23794.82168921873</v>
      </c>
      <c r="R36" s="442">
        <f>IF(Параметры!$E$20=6%,R11*0.06,IF(Параметры!$E$20=15%, "-"))</f>
        <v>34651.282773679661</v>
      </c>
      <c r="S36" s="442">
        <f>IF(Параметры!$E$20=6%,S11*0.06,IF(Параметры!$E$20=15%, "-"))</f>
        <v>42072.836912363651</v>
      </c>
      <c r="T36" s="442">
        <f>IF(Параметры!$E$20=6%,T11*0.06,IF(Параметры!$E$20=15%, "-"))</f>
        <v>54081.203757981828</v>
      </c>
      <c r="U36" s="442">
        <f>IF(Параметры!$E$20=6%,U11*0.06,IF(Параметры!$E$20=15%, "-"))</f>
        <v>65371.826445880914</v>
      </c>
      <c r="V36" s="442">
        <f>IF(Параметры!$E$20=6%,V11*0.06,IF(Параметры!$E$20=15%, "-"))</f>
        <v>76395.936018174951</v>
      </c>
      <c r="W36" s="442">
        <f>IF(Параметры!$E$20=6%,W11*0.06,IF(Параметры!$E$20=15%, "-"))</f>
        <v>86468.979394083697</v>
      </c>
      <c r="X36" s="442">
        <f>IF(Параметры!$E$20=6%,X11*0.06,IF(Параметры!$E$20=15%, "-"))</f>
        <v>97286.410786287859</v>
      </c>
      <c r="Y36" s="442">
        <f>IF(Параметры!$E$20=6%,Y11*0.06,IF(Параметры!$E$20=15%, "-"))</f>
        <v>109622.90872935228</v>
      </c>
      <c r="Z36" s="442">
        <f>IF(Параметры!$E$20=6%,Z11*0.06,IF(Параметры!$E$20=15%, "-"))</f>
        <v>110731.75276124488</v>
      </c>
      <c r="AA36" s="442">
        <f>IF(Параметры!$E$20=6%,AA11*0.06,IF(Параметры!$E$20=15%, "-"))</f>
        <v>81777.841078640922</v>
      </c>
      <c r="AB36" s="442">
        <f>IF(Параметры!$E$20=6%,AB11*0.06,IF(Параметры!$E$20=15%, "-"))</f>
        <v>70989.161780229217</v>
      </c>
      <c r="AC36" s="15"/>
    </row>
    <row r="37" spans="2:29">
      <c r="B37" s="14"/>
      <c r="C37" s="370" t="s">
        <v>270</v>
      </c>
      <c r="D37" s="371"/>
      <c r="E37" s="443">
        <f>IF(Параметры!$E$18="ИП",3500, "-")</f>
        <v>3500</v>
      </c>
      <c r="F37" s="443">
        <f>IF(Параметры!$E$18="ИП",3500, "-")</f>
        <v>3500</v>
      </c>
      <c r="G37" s="443">
        <f>IF(Параметры!$E$18="ИП",3500, "-")</f>
        <v>3500</v>
      </c>
      <c r="H37" s="443">
        <f>IF(Параметры!$E$18="ИП",3500, "-")</f>
        <v>3500</v>
      </c>
      <c r="I37" s="443">
        <f>IF(Параметры!$E$18="ИП",3500, "-")</f>
        <v>3500</v>
      </c>
      <c r="J37" s="443">
        <f>IF(Параметры!$E$18="ИП",3500, "-")</f>
        <v>3500</v>
      </c>
      <c r="K37" s="443">
        <f>IF(Параметры!$E$18="ИП",3500, "-")</f>
        <v>3500</v>
      </c>
      <c r="L37" s="443">
        <f>IF(Параметры!$E$18="ИП",3500, "-")</f>
        <v>3500</v>
      </c>
      <c r="M37" s="443">
        <f>IF(Параметры!$E$18="ИП",3500, "-")</f>
        <v>3500</v>
      </c>
      <c r="N37" s="443">
        <f>IF(Параметры!$E$18="ИП",3500, "-")</f>
        <v>3500</v>
      </c>
      <c r="O37" s="443">
        <f>IF(Параметры!$E$18="ИП",3500, "-")</f>
        <v>3500</v>
      </c>
      <c r="P37" s="443">
        <f>IF(Параметры!$E$18="ИП",3500, "-")</f>
        <v>3500</v>
      </c>
      <c r="Q37" s="443">
        <f>IF(Параметры!$E$18="ИП",3500, "-")</f>
        <v>3500</v>
      </c>
      <c r="R37" s="443">
        <f>IF(Параметры!$E$18="ИП",3500, "-")</f>
        <v>3500</v>
      </c>
      <c r="S37" s="443">
        <f>IF(Параметры!$E$18="ИП",3500, "-")</f>
        <v>3500</v>
      </c>
      <c r="T37" s="443">
        <f>IF(Параметры!$E$18="ИП",3500, "-")</f>
        <v>3500</v>
      </c>
      <c r="U37" s="443">
        <f>IF(Параметры!$E$18="ИП",3500, "-")</f>
        <v>3500</v>
      </c>
      <c r="V37" s="443">
        <f>IF(Параметры!$E$18="ИП",3500, "-")</f>
        <v>3500</v>
      </c>
      <c r="W37" s="443">
        <f>IF(Параметры!$E$18="ИП",3500, "-")</f>
        <v>3500</v>
      </c>
      <c r="X37" s="443">
        <f>IF(Параметры!$E$18="ИП",3500, "-")</f>
        <v>3500</v>
      </c>
      <c r="Y37" s="443">
        <f>IF(Параметры!$E$18="ИП",3500, "-")</f>
        <v>3500</v>
      </c>
      <c r="Z37" s="443">
        <f>IF(Параметры!$E$18="ИП",3500, "-")</f>
        <v>3500</v>
      </c>
      <c r="AA37" s="443">
        <f>IF(Параметры!$E$18="ИП",3500, "-")</f>
        <v>3500</v>
      </c>
      <c r="AB37" s="443">
        <f>IF(Параметры!$E$18="ИП",3500, "-")</f>
        <v>3500</v>
      </c>
      <c r="AC37" s="15"/>
    </row>
    <row r="38" spans="2:29" ht="15.75" thickBot="1">
      <c r="B38" s="373"/>
      <c r="C38" s="374"/>
      <c r="D38" s="175"/>
      <c r="E38" s="375"/>
      <c r="F38" s="375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6"/>
    </row>
    <row r="39" spans="2:29"/>
  </sheetData>
  <mergeCells count="5">
    <mergeCell ref="C3:G5"/>
    <mergeCell ref="C9:D9"/>
    <mergeCell ref="E9:P9"/>
    <mergeCell ref="Q9:AB9"/>
    <mergeCell ref="C6:H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3"/>
  </sheetPr>
  <dimension ref="A1:F54"/>
  <sheetViews>
    <sheetView showGridLines="0" topLeftCell="A37" workbookViewId="0">
      <selection activeCell="D50" sqref="D50"/>
    </sheetView>
  </sheetViews>
  <sheetFormatPr defaultColWidth="0" defaultRowHeight="15" zeroHeight="1"/>
  <cols>
    <col min="1" max="1" width="4" style="396" customWidth="1"/>
    <col min="2" max="2" width="6.7109375" style="396" customWidth="1"/>
    <col min="3" max="3" width="49.5703125" style="396" customWidth="1"/>
    <col min="4" max="4" width="34.5703125" style="396" customWidth="1"/>
    <col min="5" max="5" width="10.5703125" style="396" customWidth="1"/>
    <col min="6" max="6" width="6.7109375" style="396" customWidth="1"/>
    <col min="7" max="16384" width="56" style="396" hidden="1"/>
  </cols>
  <sheetData>
    <row r="1" spans="2:5" ht="15.75" thickBot="1"/>
    <row r="2" spans="2:5">
      <c r="B2" s="397"/>
      <c r="C2" s="398"/>
      <c r="D2" s="398"/>
      <c r="E2" s="399"/>
    </row>
    <row r="3" spans="2:5">
      <c r="B3" s="539"/>
      <c r="C3" s="540"/>
      <c r="D3" s="540"/>
      <c r="E3" s="541"/>
    </row>
    <row r="4" spans="2:5">
      <c r="B4" s="539"/>
      <c r="C4" s="540"/>
      <c r="D4" s="540"/>
      <c r="E4" s="541"/>
    </row>
    <row r="5" spans="2:5">
      <c r="B5" s="539"/>
      <c r="C5" s="540"/>
      <c r="D5" s="540"/>
      <c r="E5" s="541"/>
    </row>
    <row r="6" spans="2:5" ht="15.75" thickBot="1">
      <c r="B6" s="400"/>
      <c r="C6" s="401"/>
      <c r="D6" s="401"/>
      <c r="E6" s="402"/>
    </row>
    <row r="7" spans="2:5" ht="15.75" thickBot="1">
      <c r="B7" s="400"/>
      <c r="C7" s="542" t="s">
        <v>271</v>
      </c>
      <c r="D7" s="542"/>
      <c r="E7" s="402"/>
    </row>
    <row r="8" spans="2:5">
      <c r="B8" s="400"/>
      <c r="C8" s="543"/>
      <c r="D8" s="543"/>
      <c r="E8" s="402"/>
    </row>
    <row r="9" spans="2:5" ht="16.5" customHeight="1">
      <c r="B9" s="400"/>
      <c r="C9" s="406" t="s">
        <v>272</v>
      </c>
      <c r="D9" s="407">
        <f>AVERAGE(БДР!E11:AB11)</f>
        <v>792115.80675780401</v>
      </c>
      <c r="E9" s="402"/>
    </row>
    <row r="10" spans="2:5">
      <c r="B10" s="400"/>
      <c r="C10" s="406" t="s">
        <v>273</v>
      </c>
      <c r="D10" s="408">
        <f>AVERAGE(БДР!E31:AB31)</f>
        <v>623958.61637989071</v>
      </c>
      <c r="E10" s="402"/>
    </row>
    <row r="11" spans="2:5">
      <c r="B11" s="400"/>
      <c r="C11" s="406" t="s">
        <v>274</v>
      </c>
      <c r="D11" s="409">
        <f>D10/D9</f>
        <v>0.78771135616369692</v>
      </c>
      <c r="E11" s="402"/>
    </row>
    <row r="12" spans="2:5">
      <c r="B12" s="400"/>
      <c r="C12" s="410" t="s">
        <v>275</v>
      </c>
      <c r="D12" s="411">
        <f>SUM(БДР!E34:AB34)</f>
        <v>5</v>
      </c>
      <c r="E12" s="402"/>
    </row>
    <row r="13" spans="2:5" ht="15.75" thickBot="1">
      <c r="B13" s="400"/>
      <c r="C13" s="403"/>
      <c r="D13" s="403"/>
      <c r="E13" s="402"/>
    </row>
    <row r="14" spans="2:5" ht="15.75" thickBot="1">
      <c r="B14" s="400"/>
      <c r="E14" s="402"/>
    </row>
    <row r="15" spans="2:5" ht="48" customHeight="1" thickBot="1">
      <c r="B15" s="400"/>
      <c r="C15" s="542" t="s">
        <v>276</v>
      </c>
      <c r="D15" s="542"/>
      <c r="E15" s="402"/>
    </row>
    <row r="16" spans="2:5">
      <c r="B16" s="400"/>
      <c r="E16" s="402"/>
    </row>
    <row r="17" spans="2:5">
      <c r="B17" s="400"/>
      <c r="E17" s="402"/>
    </row>
    <row r="18" spans="2:5">
      <c r="B18" s="400"/>
      <c r="C18" s="401"/>
      <c r="D18" s="401"/>
      <c r="E18" s="402"/>
    </row>
    <row r="19" spans="2:5">
      <c r="B19" s="400"/>
      <c r="C19" s="401"/>
      <c r="D19" s="401"/>
      <c r="E19" s="402"/>
    </row>
    <row r="20" spans="2:5">
      <c r="B20" s="400"/>
      <c r="C20" s="401"/>
      <c r="D20" s="401"/>
      <c r="E20" s="402"/>
    </row>
    <row r="21" spans="2:5">
      <c r="B21" s="400"/>
      <c r="C21" s="401"/>
      <c r="D21" s="401"/>
      <c r="E21" s="402"/>
    </row>
    <row r="22" spans="2:5">
      <c r="B22" s="400"/>
      <c r="C22" s="401"/>
      <c r="D22" s="401"/>
      <c r="E22" s="402"/>
    </row>
    <row r="23" spans="2:5">
      <c r="B23" s="400"/>
      <c r="C23" s="401"/>
      <c r="D23" s="401"/>
      <c r="E23" s="402"/>
    </row>
    <row r="24" spans="2:5">
      <c r="B24" s="400"/>
      <c r="C24" s="401"/>
      <c r="D24" s="401"/>
      <c r="E24" s="402"/>
    </row>
    <row r="25" spans="2:5">
      <c r="B25" s="400"/>
      <c r="C25" s="401"/>
      <c r="D25" s="401"/>
      <c r="E25" s="402"/>
    </row>
    <row r="26" spans="2:5">
      <c r="B26" s="400"/>
      <c r="C26" s="401"/>
      <c r="D26" s="401"/>
      <c r="E26" s="402"/>
    </row>
    <row r="27" spans="2:5">
      <c r="B27" s="400"/>
      <c r="C27" s="401"/>
      <c r="D27" s="401"/>
      <c r="E27" s="402"/>
    </row>
    <row r="28" spans="2:5">
      <c r="B28" s="400"/>
      <c r="C28" s="401"/>
      <c r="D28" s="401"/>
      <c r="E28" s="402"/>
    </row>
    <row r="29" spans="2:5">
      <c r="B29" s="400"/>
      <c r="C29" s="401"/>
      <c r="D29" s="401"/>
      <c r="E29" s="402"/>
    </row>
    <row r="30" spans="2:5" ht="15.75" thickBot="1">
      <c r="B30" s="400"/>
      <c r="C30" s="401"/>
      <c r="D30" s="401"/>
      <c r="E30" s="402"/>
    </row>
    <row r="31" spans="2:5" ht="54.75" customHeight="1" thickBot="1">
      <c r="B31" s="400"/>
      <c r="C31" s="542" t="s">
        <v>277</v>
      </c>
      <c r="D31" s="542"/>
      <c r="E31" s="402"/>
    </row>
    <row r="32" spans="2:5">
      <c r="B32" s="400"/>
      <c r="C32" s="401"/>
      <c r="D32" s="401"/>
      <c r="E32" s="402"/>
    </row>
    <row r="33" spans="2:5">
      <c r="B33" s="400"/>
      <c r="C33" s="401"/>
      <c r="D33" s="401"/>
      <c r="E33" s="402"/>
    </row>
    <row r="34" spans="2:5">
      <c r="B34" s="400"/>
      <c r="C34" s="401"/>
      <c r="D34" s="401"/>
      <c r="E34" s="402"/>
    </row>
    <row r="35" spans="2:5">
      <c r="B35" s="400"/>
      <c r="C35" s="401"/>
      <c r="D35" s="401"/>
      <c r="E35" s="402"/>
    </row>
    <row r="36" spans="2:5">
      <c r="B36" s="400"/>
      <c r="C36" s="401"/>
      <c r="D36" s="401"/>
      <c r="E36" s="402"/>
    </row>
    <row r="37" spans="2:5">
      <c r="B37" s="400"/>
      <c r="C37" s="401"/>
      <c r="D37" s="401"/>
      <c r="E37" s="402"/>
    </row>
    <row r="38" spans="2:5">
      <c r="B38" s="400"/>
      <c r="C38" s="401"/>
      <c r="D38" s="401"/>
      <c r="E38" s="402"/>
    </row>
    <row r="39" spans="2:5">
      <c r="B39" s="400"/>
      <c r="C39" s="401"/>
      <c r="D39" s="401"/>
      <c r="E39" s="402"/>
    </row>
    <row r="40" spans="2:5">
      <c r="B40" s="400"/>
      <c r="C40" s="401"/>
      <c r="D40" s="401"/>
      <c r="E40" s="402"/>
    </row>
    <row r="41" spans="2:5">
      <c r="B41" s="400"/>
      <c r="C41" s="401"/>
      <c r="D41" s="401"/>
      <c r="E41" s="402"/>
    </row>
    <row r="42" spans="2:5">
      <c r="B42" s="400"/>
      <c r="C42" s="401"/>
      <c r="D42" s="401"/>
      <c r="E42" s="402"/>
    </row>
    <row r="43" spans="2:5">
      <c r="B43" s="400"/>
      <c r="C43" s="401"/>
      <c r="D43" s="401"/>
      <c r="E43" s="402"/>
    </row>
    <row r="44" spans="2:5">
      <c r="B44" s="400"/>
      <c r="C44" s="401"/>
      <c r="D44" s="401"/>
      <c r="E44" s="402"/>
    </row>
    <row r="45" spans="2:5">
      <c r="B45" s="400"/>
      <c r="C45" s="401"/>
      <c r="D45" s="401"/>
      <c r="E45" s="402"/>
    </row>
    <row r="46" spans="2:5">
      <c r="B46" s="400"/>
      <c r="C46" s="401"/>
      <c r="D46" s="401"/>
      <c r="E46" s="402"/>
    </row>
    <row r="47" spans="2:5">
      <c r="B47" s="400"/>
      <c r="C47" s="401"/>
      <c r="D47" s="401"/>
      <c r="E47" s="402"/>
    </row>
    <row r="48" spans="2:5">
      <c r="B48" s="400"/>
      <c r="C48" s="401"/>
      <c r="D48" s="401"/>
      <c r="E48" s="402"/>
    </row>
    <row r="49" spans="2:5">
      <c r="B49" s="400"/>
      <c r="C49" s="406" t="s">
        <v>278</v>
      </c>
      <c r="D49" s="408">
        <f>Безубыточность!$L$15/(Безубыточность!$L$17-Безубыточность!$L$16)*Безубыточность!$L$17</f>
        <v>34372.874387226955</v>
      </c>
      <c r="E49" s="402"/>
    </row>
    <row r="50" spans="2:5">
      <c r="B50" s="400"/>
      <c r="C50" s="406" t="s">
        <v>299</v>
      </c>
      <c r="D50" s="412">
        <f>ROUNDUP(Безубыточность!L15/(Безубыточность!B30-Безубыточность!B29),0)</f>
        <v>16</v>
      </c>
      <c r="E50" s="402"/>
    </row>
    <row r="51" spans="2:5">
      <c r="B51" s="400"/>
      <c r="C51" s="406"/>
      <c r="D51" s="408"/>
      <c r="E51" s="402"/>
    </row>
    <row r="52" spans="2:5">
      <c r="B52" s="400"/>
      <c r="C52" s="401"/>
      <c r="D52" s="401"/>
      <c r="E52" s="402"/>
    </row>
    <row r="53" spans="2:5" ht="15.75" thickBot="1">
      <c r="B53" s="404"/>
      <c r="C53" s="403"/>
      <c r="D53" s="403"/>
      <c r="E53" s="405"/>
    </row>
    <row r="54" spans="2:5"/>
  </sheetData>
  <mergeCells count="5">
    <mergeCell ref="B3:E5"/>
    <mergeCell ref="C7:D7"/>
    <mergeCell ref="C8:D8"/>
    <mergeCell ref="C15:D15"/>
    <mergeCell ref="C31:D31"/>
  </mergeCells>
  <conditionalFormatting sqref="D9:D10">
    <cfRule type="dataBar" priority="1">
      <dataBar>
        <cfvo type="min"/>
        <cfvo type="max"/>
        <color rgb="FF013F53"/>
      </dataBar>
      <extLst>
        <ext xmlns:x14="http://schemas.microsoft.com/office/spreadsheetml/2009/9/main" uri="{B025F937-C7B1-47D3-B67F-A62EFF666E3E}">
          <x14:id>{F79EC241-5CBC-4AFA-87E7-49F03280544F}</x14:id>
        </ext>
      </extLst>
    </cfRule>
  </conditionalFormatting>
  <conditionalFormatting sqref="D5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{2A927F14-D3E3-47CD-AEBE-E998ED7B3544}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9EC241-5CBC-4AFA-87E7-49F03280544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D9:D10</xm:sqref>
        </x14:conditionalFormatting>
        <x14:conditionalFormatting xmlns:xm="http://schemas.microsoft.com/office/excel/2006/main">
          <x14:cfRule type="dataBar" id="{2A927F14-D3E3-47CD-AEBE-E998ED7B35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B49"/>
  <sheetViews>
    <sheetView workbookViewId="0">
      <selection activeCell="F16" sqref="F16"/>
    </sheetView>
  </sheetViews>
  <sheetFormatPr defaultRowHeight="15"/>
  <cols>
    <col min="1" max="1" width="36.28515625" customWidth="1"/>
    <col min="2" max="2" width="40.85546875" customWidth="1"/>
    <col min="3" max="3" width="13.85546875" customWidth="1"/>
    <col min="8" max="8" width="27.140625" customWidth="1"/>
    <col min="9" max="9" width="20" customWidth="1"/>
    <col min="10" max="10" width="18" customWidth="1"/>
  </cols>
  <sheetData>
    <row r="1" spans="1:10">
      <c r="E1" s="80" t="s">
        <v>64</v>
      </c>
      <c r="F1" s="80" t="s">
        <v>65</v>
      </c>
      <c r="G1" s="80"/>
      <c r="H1" s="81"/>
      <c r="I1" s="80"/>
      <c r="J1" s="80"/>
    </row>
    <row r="2" spans="1:10">
      <c r="A2" s="78" t="s">
        <v>59</v>
      </c>
      <c r="B2" s="78" t="s">
        <v>63</v>
      </c>
      <c r="E2" s="82">
        <v>1</v>
      </c>
      <c r="F2" s="83">
        <v>44197</v>
      </c>
      <c r="G2" s="84"/>
      <c r="H2" s="82"/>
      <c r="I2" s="85"/>
      <c r="J2" s="85"/>
    </row>
    <row r="3" spans="1:10">
      <c r="A3" s="78" t="s">
        <v>60</v>
      </c>
      <c r="B3" s="79">
        <v>250000</v>
      </c>
      <c r="E3" s="82">
        <v>2</v>
      </c>
      <c r="F3" s="83">
        <v>44228</v>
      </c>
      <c r="G3" s="84"/>
      <c r="H3" s="82"/>
      <c r="I3" s="85"/>
      <c r="J3" s="85"/>
    </row>
    <row r="4" spans="1:10">
      <c r="A4" s="78" t="s">
        <v>61</v>
      </c>
      <c r="B4" s="79">
        <v>350000</v>
      </c>
      <c r="E4" s="82">
        <v>3</v>
      </c>
      <c r="F4" s="83">
        <v>44256</v>
      </c>
      <c r="G4" s="84"/>
      <c r="H4" s="82"/>
      <c r="I4" s="85"/>
      <c r="J4" s="85"/>
    </row>
    <row r="5" spans="1:10">
      <c r="A5" s="78" t="s">
        <v>62</v>
      </c>
      <c r="B5" s="79">
        <v>500000</v>
      </c>
      <c r="E5" s="82">
        <v>4</v>
      </c>
      <c r="F5" s="83">
        <v>44287</v>
      </c>
      <c r="G5" s="84"/>
      <c r="H5" s="82"/>
      <c r="I5" s="85"/>
      <c r="J5" s="85"/>
    </row>
    <row r="6" spans="1:10">
      <c r="E6" s="82">
        <v>5</v>
      </c>
      <c r="F6" s="83">
        <v>44317</v>
      </c>
      <c r="G6" s="84"/>
      <c r="H6" s="82"/>
      <c r="I6" s="85"/>
      <c r="J6" s="85"/>
    </row>
    <row r="7" spans="1:10">
      <c r="E7" s="82">
        <v>6</v>
      </c>
      <c r="F7" s="83">
        <v>44348</v>
      </c>
      <c r="G7" s="84"/>
      <c r="H7" s="82"/>
      <c r="I7" s="85"/>
      <c r="J7" s="81"/>
    </row>
    <row r="8" spans="1:10">
      <c r="A8" s="98" t="s">
        <v>12</v>
      </c>
      <c r="E8" s="82">
        <v>7</v>
      </c>
      <c r="F8" s="83">
        <v>44378</v>
      </c>
      <c r="G8" s="84"/>
      <c r="H8" s="82"/>
      <c r="I8" s="85"/>
      <c r="J8" s="81"/>
    </row>
    <row r="9" spans="1:10">
      <c r="A9" s="98" t="s">
        <v>85</v>
      </c>
      <c r="E9" s="82">
        <v>8</v>
      </c>
      <c r="F9" s="83">
        <v>44409</v>
      </c>
      <c r="G9" s="84"/>
      <c r="H9" s="82"/>
      <c r="I9" s="85"/>
      <c r="J9" s="85"/>
    </row>
    <row r="10" spans="1:10">
      <c r="E10" s="82">
        <v>9</v>
      </c>
      <c r="F10" s="83">
        <v>44440</v>
      </c>
      <c r="G10" s="84"/>
      <c r="H10" s="82"/>
      <c r="I10" s="85"/>
      <c r="J10" s="85"/>
    </row>
    <row r="11" spans="1:10">
      <c r="A11" s="88" t="s">
        <v>13</v>
      </c>
      <c r="E11" s="82">
        <v>10</v>
      </c>
      <c r="F11" s="83">
        <v>44470</v>
      </c>
      <c r="G11" s="84"/>
      <c r="H11" s="82"/>
      <c r="I11" s="85"/>
      <c r="J11" s="85"/>
    </row>
    <row r="12" spans="1:10">
      <c r="A12" s="88" t="s">
        <v>58</v>
      </c>
      <c r="E12" s="82">
        <v>11</v>
      </c>
      <c r="F12" s="83">
        <v>44501</v>
      </c>
      <c r="G12" s="84"/>
      <c r="H12" s="82"/>
      <c r="I12" s="85"/>
      <c r="J12" s="85"/>
    </row>
    <row r="13" spans="1:10">
      <c r="E13" s="82">
        <v>12</v>
      </c>
      <c r="F13" s="83">
        <v>44531</v>
      </c>
      <c r="G13" s="84"/>
      <c r="H13" s="82"/>
      <c r="I13" s="85"/>
      <c r="J13" s="85"/>
    </row>
    <row r="14" spans="1:10">
      <c r="A14" s="544" t="s">
        <v>86</v>
      </c>
      <c r="B14" s="544"/>
      <c r="C14" s="99"/>
    </row>
    <row r="15" spans="1:10">
      <c r="A15" s="88" t="s">
        <v>15</v>
      </c>
      <c r="B15" s="85" t="s">
        <v>87</v>
      </c>
      <c r="C15" s="84">
        <v>0.06</v>
      </c>
    </row>
    <row r="16" spans="1:10">
      <c r="A16" s="88" t="s">
        <v>88</v>
      </c>
      <c r="B16" s="85" t="s">
        <v>87</v>
      </c>
      <c r="C16" s="84">
        <v>0.15</v>
      </c>
    </row>
    <row r="17" spans="1:10">
      <c r="A17" s="88"/>
      <c r="B17" s="85"/>
      <c r="C17" s="79"/>
      <c r="H17" s="100" t="s">
        <v>89</v>
      </c>
      <c r="I17" s="100" t="s">
        <v>85</v>
      </c>
      <c r="J17" s="100" t="s">
        <v>12</v>
      </c>
    </row>
    <row r="18" spans="1:10">
      <c r="H18" s="81" t="s">
        <v>28</v>
      </c>
      <c r="I18" s="101">
        <v>4000</v>
      </c>
      <c r="J18" s="101">
        <v>800</v>
      </c>
    </row>
    <row r="19" spans="1:10">
      <c r="H19" s="81" t="s">
        <v>29</v>
      </c>
      <c r="I19" s="101">
        <v>900</v>
      </c>
      <c r="J19" s="101">
        <v>900</v>
      </c>
    </row>
    <row r="20" spans="1:10">
      <c r="A20" s="100" t="s">
        <v>89</v>
      </c>
      <c r="B20" s="100" t="s">
        <v>85</v>
      </c>
      <c r="C20" s="100" t="s">
        <v>12</v>
      </c>
      <c r="H20" s="81" t="s">
        <v>30</v>
      </c>
      <c r="I20" s="101">
        <v>0</v>
      </c>
      <c r="J20" s="101">
        <v>0</v>
      </c>
    </row>
    <row r="21" spans="1:10">
      <c r="A21" s="81" t="s">
        <v>28</v>
      </c>
      <c r="B21" s="101">
        <v>4000</v>
      </c>
      <c r="C21" s="101">
        <v>800</v>
      </c>
      <c r="H21" s="81" t="s">
        <v>31</v>
      </c>
      <c r="I21" s="101">
        <v>10000</v>
      </c>
      <c r="J21" s="101">
        <v>0</v>
      </c>
    </row>
    <row r="22" spans="1:10">
      <c r="A22" s="81" t="s">
        <v>29</v>
      </c>
      <c r="B22" s="101">
        <v>900</v>
      </c>
      <c r="C22" s="101">
        <v>900</v>
      </c>
      <c r="H22" s="81" t="s">
        <v>32</v>
      </c>
      <c r="I22" s="101">
        <v>0</v>
      </c>
      <c r="J22" s="101">
        <v>0</v>
      </c>
    </row>
    <row r="23" spans="1:10">
      <c r="A23" s="81" t="s">
        <v>31</v>
      </c>
      <c r="B23" s="101">
        <v>10000</v>
      </c>
      <c r="C23" s="101">
        <v>0</v>
      </c>
    </row>
    <row r="24" spans="1:10">
      <c r="A24" s="81" t="s">
        <v>32</v>
      </c>
      <c r="B24" s="101">
        <v>0</v>
      </c>
      <c r="C24" s="101">
        <v>0</v>
      </c>
      <c r="H24" s="544" t="s">
        <v>86</v>
      </c>
      <c r="I24" s="544"/>
      <c r="J24" s="99"/>
    </row>
    <row r="25" spans="1:10">
      <c r="H25" s="88" t="s">
        <v>15</v>
      </c>
      <c r="I25" s="85" t="s">
        <v>87</v>
      </c>
      <c r="J25" s="84">
        <v>0.06</v>
      </c>
    </row>
    <row r="26" spans="1:10">
      <c r="H26" s="88" t="s">
        <v>88</v>
      </c>
      <c r="I26" s="85" t="s">
        <v>87</v>
      </c>
      <c r="J26" s="84">
        <v>0.15</v>
      </c>
    </row>
    <row r="27" spans="1:10">
      <c r="H27" s="88"/>
      <c r="I27" s="85"/>
      <c r="J27" s="79"/>
    </row>
    <row r="37" spans="1:28">
      <c r="A37" s="385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94"/>
      <c r="AB37" s="94"/>
    </row>
    <row r="38" spans="1:28">
      <c r="A38" s="387"/>
      <c r="B38" s="388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94"/>
      <c r="AB38" s="94"/>
    </row>
    <row r="39" spans="1:28">
      <c r="A39" s="385"/>
      <c r="B39" s="386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94"/>
      <c r="AB39" s="94"/>
    </row>
    <row r="40" spans="1:28">
      <c r="A40" s="391"/>
      <c r="B40" s="392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94"/>
      <c r="AB40" s="94"/>
    </row>
    <row r="41" spans="1:28">
      <c r="A41" s="393"/>
      <c r="B41" s="48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94"/>
      <c r="AB41" s="94"/>
    </row>
    <row r="42" spans="1:28">
      <c r="A42" s="385"/>
      <c r="B42" s="394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94"/>
      <c r="AB42" s="94"/>
    </row>
    <row r="43" spans="1:28">
      <c r="A43" s="382"/>
      <c r="B43" s="383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94"/>
      <c r="AB43" s="94"/>
    </row>
    <row r="44" spans="1:28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94"/>
      <c r="AB44" s="94"/>
    </row>
    <row r="49" spans="1:24">
      <c r="A49">
        <f>IF(Параметры!$E$20=6%,БДР!E11*0.06,IF(Параметры!$E$20=15%,(БДР!E11-БДР!E12)*0.15))</f>
        <v>4530.03</v>
      </c>
      <c r="B49">
        <f>IF(Параметры!$E$20=6%,БДР!F11*0.06,IF(Параметры!$E$20=15%,(БДР!F11-БДР!F12)*0.15))</f>
        <v>12484.152</v>
      </c>
      <c r="C49">
        <f>IF(Параметры!$E$20=6%,БДР!G11*0.06,IF(Параметры!$E$20=15%,(БДР!G11-БДР!G12)*0.15))</f>
        <v>15754.23</v>
      </c>
      <c r="D49">
        <f>IF(Параметры!$E$20=6%,БДР!H11*0.06,IF(Параметры!$E$20=15%,(БДР!H11-БДР!H12)*0.15))</f>
        <v>18499.751999999997</v>
      </c>
      <c r="E49">
        <f>IF(Параметры!$E$20=6%,БДР!I11*0.06,IF(Параметры!$E$20=15%,(БДР!I11-БДР!I12)*0.15))</f>
        <v>20691.323999999997</v>
      </c>
      <c r="F49">
        <f>IF(Параметры!$E$20=6%,БДР!J11*0.06,IF(Параметры!$E$20=15%,(БДР!J11-БДР!J12)*0.15))</f>
        <v>28982.153699999999</v>
      </c>
      <c r="G49">
        <f>IF(Параметры!$E$20=6%,БДР!K11*0.06,IF(Параметры!$E$20=15%,(БДР!K11-БДР!K12)*0.15))</f>
        <v>30766.075064999997</v>
      </c>
      <c r="H49">
        <f>IF(Параметры!$E$20=6%,БДР!L11*0.06,IF(Параметры!$E$20=15%,(БДР!L11-БДР!L12)*0.15))</f>
        <v>34016.886434250002</v>
      </c>
      <c r="I49">
        <f>IF(Параметры!$E$20=6%,БДР!M11*0.06,IF(Параметры!$E$20=15%,(БДР!M11-БДР!M12)*0.15))</f>
        <v>31886.884075162499</v>
      </c>
      <c r="J49">
        <f>IF(Параметры!$E$20=6%,БДР!N11*0.06,IF(Параметры!$E$20=15%,(БДР!N11-БДР!N12)*0.15))</f>
        <v>31172.73226196062</v>
      </c>
      <c r="K49">
        <f>IF(Параметры!$E$20=6%,БДР!O11*0.06,IF(Параметры!$E$20=15%,(БДР!O11-БДР!O12)*0.15))</f>
        <v>28113.812774706654</v>
      </c>
      <c r="L49">
        <f>IF(Параметры!$E$20=6%,БДР!P11*0.06,IF(Параметры!$E$20=15%,(БДР!P11-БДР!P12)*0.15))</f>
        <v>30503.767293019584</v>
      </c>
      <c r="M49">
        <f>IF(Параметры!$E$20=6%,БДР!Q11*0.06,IF(Параметры!$E$20=15%,(БДР!Q11-БДР!Q12)*0.15))</f>
        <v>23794.82168921873</v>
      </c>
      <c r="N49">
        <f>IF(Параметры!$E$20=6%,БДР!R11*0.06,IF(Параметры!$E$20=15%,(БДР!R11-БДР!R12)*0.15))</f>
        <v>34651.282773679661</v>
      </c>
      <c r="O49">
        <f>IF(Параметры!$E$20=6%,БДР!S11*0.06,IF(Параметры!$E$20=15%,(БДР!S11-БДР!S12)*0.15))</f>
        <v>42072.836912363651</v>
      </c>
      <c r="P49">
        <f>IF(Параметры!$E$20=6%,БДР!T11*0.06,IF(Параметры!$E$20=15%,(БДР!T11-БДР!T12)*0.15))</f>
        <v>54081.203757981828</v>
      </c>
      <c r="Q49">
        <f>IF(Параметры!$E$20=6%,БДР!U11*0.06,IF(Параметры!$E$20=15%,(БДР!U11-БДР!U12)*0.15))</f>
        <v>65371.826445880914</v>
      </c>
      <c r="R49">
        <f>IF(Параметры!$E$20=6%,БДР!V11*0.06,IF(Параметры!$E$20=15%,(БДР!V11-БДР!V12)*0.15))</f>
        <v>76395.936018174951</v>
      </c>
      <c r="S49">
        <f>IF(Параметры!$E$20=6%,БДР!W11*0.06,IF(Параметры!$E$20=15%,(БДР!W11-БДР!W12)*0.15))</f>
        <v>86468.979394083697</v>
      </c>
      <c r="T49">
        <f>IF(Параметры!$E$20=6%,БДР!X11*0.06,IF(Параметры!$E$20=15%,(БДР!X11-БДР!X12)*0.15))</f>
        <v>97286.410786287859</v>
      </c>
      <c r="U49">
        <f>IF(Параметры!$E$20=6%,БДР!Y11*0.06,IF(Параметры!$E$20=15%,(БДР!Y11-БДР!Y12)*0.15))</f>
        <v>109622.90872935228</v>
      </c>
      <c r="V49">
        <f>IF(Параметры!$E$20=6%,БДР!Z11*0.06,IF(Параметры!$E$20=15%,(БДР!Z11-БДР!Z12)*0.15))</f>
        <v>110731.75276124488</v>
      </c>
      <c r="W49">
        <f>IF(Параметры!$E$20=6%,БДР!AA11*0.06,IF(Параметры!$E$20=15%,(БДР!AA11-БДР!AA12)*0.15))</f>
        <v>81777.841078640922</v>
      </c>
      <c r="X49">
        <f>IF(Параметры!$E$20=6%,БДР!AB11*0.06,IF(Параметры!$E$20=15%,(БДР!AB11-БДР!AB12)*0.15))</f>
        <v>70989.161780229217</v>
      </c>
    </row>
  </sheetData>
  <mergeCells count="2">
    <mergeCell ref="A14:B14"/>
    <mergeCell ref="H24:I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L22"/>
  <sheetViews>
    <sheetView workbookViewId="0">
      <selection activeCell="D19" sqref="D19"/>
    </sheetView>
  </sheetViews>
  <sheetFormatPr defaultRowHeight="15"/>
  <cols>
    <col min="1" max="1" width="27" customWidth="1"/>
    <col min="2" max="2" width="12.5703125" customWidth="1"/>
    <col min="3" max="37" width="9.140625" customWidth="1"/>
  </cols>
  <sheetData>
    <row r="1" spans="1:38">
      <c r="A1" s="86" t="s">
        <v>23</v>
      </c>
      <c r="B1" s="87">
        <f>Параметры!F29</f>
        <v>500000</v>
      </c>
      <c r="D1" s="88" t="s">
        <v>22</v>
      </c>
      <c r="E1" s="89" t="s">
        <v>70</v>
      </c>
    </row>
    <row r="2" spans="1:38">
      <c r="A2" s="86" t="s">
        <v>24</v>
      </c>
      <c r="B2" s="90">
        <f>Параметры!F30</f>
        <v>0.12</v>
      </c>
      <c r="D2" s="88" t="s">
        <v>71</v>
      </c>
      <c r="E2" s="89" t="s">
        <v>72</v>
      </c>
    </row>
    <row r="3" spans="1:38">
      <c r="A3" s="86" t="s">
        <v>26</v>
      </c>
      <c r="B3" s="91">
        <f>Параметры!F31</f>
        <v>24</v>
      </c>
    </row>
    <row r="5" spans="1:38">
      <c r="A5" s="86" t="s">
        <v>22</v>
      </c>
    </row>
    <row r="6" spans="1:38">
      <c r="A6" s="86" t="s">
        <v>73</v>
      </c>
      <c r="B6" s="545" t="s">
        <v>74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 t="s">
        <v>75</v>
      </c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 t="s">
        <v>76</v>
      </c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</row>
    <row r="7" spans="1:38">
      <c r="A7" s="86" t="s">
        <v>77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  <c r="U7" s="92">
        <v>20</v>
      </c>
      <c r="V7" s="92">
        <v>21</v>
      </c>
      <c r="W7" s="92">
        <v>22</v>
      </c>
      <c r="X7" s="92">
        <v>23</v>
      </c>
      <c r="Y7" s="92">
        <v>24</v>
      </c>
      <c r="Z7" s="92">
        <v>25</v>
      </c>
      <c r="AA7" s="92">
        <v>26</v>
      </c>
      <c r="AB7" s="92">
        <v>27</v>
      </c>
      <c r="AC7" s="92">
        <v>28</v>
      </c>
      <c r="AD7" s="92">
        <v>29</v>
      </c>
      <c r="AE7" s="92">
        <v>30</v>
      </c>
      <c r="AF7" s="92">
        <v>31</v>
      </c>
      <c r="AG7" s="92">
        <v>32</v>
      </c>
      <c r="AH7" s="92">
        <v>33</v>
      </c>
      <c r="AI7" s="92">
        <v>34</v>
      </c>
      <c r="AJ7" s="92">
        <v>35</v>
      </c>
      <c r="AK7" s="92">
        <v>36</v>
      </c>
      <c r="AL7" s="92">
        <v>37</v>
      </c>
    </row>
    <row r="8" spans="1:38">
      <c r="A8" s="86" t="s">
        <v>78</v>
      </c>
      <c r="B8" s="93">
        <f>B1</f>
        <v>500000</v>
      </c>
      <c r="C8" s="93">
        <f>B8-B10</f>
        <v>481463.26388836768</v>
      </c>
      <c r="D8" s="93">
        <f t="shared" ref="D8:AK8" si="0">C8-C10</f>
        <v>462741.16041561903</v>
      </c>
      <c r="E8" s="93">
        <f t="shared" si="0"/>
        <v>443831.83590814291</v>
      </c>
      <c r="F8" s="93">
        <f t="shared" si="0"/>
        <v>424733.41815559199</v>
      </c>
      <c r="G8" s="93">
        <f t="shared" si="0"/>
        <v>405444.01622551557</v>
      </c>
      <c r="H8" s="93">
        <f t="shared" si="0"/>
        <v>385961.7202761384</v>
      </c>
      <c r="I8" s="93">
        <f t="shared" si="0"/>
        <v>366284.60136726743</v>
      </c>
      <c r="J8" s="93">
        <f t="shared" si="0"/>
        <v>346410.71126930777</v>
      </c>
      <c r="K8" s="93">
        <f t="shared" si="0"/>
        <v>326338.08227036853</v>
      </c>
      <c r="L8" s="93">
        <f t="shared" si="0"/>
        <v>306064.72698143986</v>
      </c>
      <c r="M8" s="93">
        <f t="shared" si="0"/>
        <v>285588.63813962194</v>
      </c>
      <c r="N8" s="93">
        <f t="shared" si="0"/>
        <v>264907.78840938583</v>
      </c>
      <c r="O8" s="93">
        <f t="shared" si="0"/>
        <v>244020.13018184737</v>
      </c>
      <c r="P8" s="93">
        <f t="shared" si="0"/>
        <v>222923.59537203351</v>
      </c>
      <c r="Q8" s="93">
        <f t="shared" si="0"/>
        <v>201616.09521412151</v>
      </c>
      <c r="R8" s="93">
        <f t="shared" si="0"/>
        <v>180095.52005463041</v>
      </c>
      <c r="S8" s="93">
        <f t="shared" si="0"/>
        <v>158359.7391435444</v>
      </c>
      <c r="T8" s="93">
        <f t="shared" si="0"/>
        <v>136406.6004233475</v>
      </c>
      <c r="U8" s="93">
        <f t="shared" si="0"/>
        <v>114233.93031594864</v>
      </c>
      <c r="V8" s="93">
        <f t="shared" si="0"/>
        <v>91839.533507475804</v>
      </c>
      <c r="W8" s="93">
        <f t="shared" si="0"/>
        <v>69221.192730918236</v>
      </c>
      <c r="X8" s="93">
        <f t="shared" si="0"/>
        <v>46376.668546595087</v>
      </c>
      <c r="Y8" s="93">
        <f t="shared" si="0"/>
        <v>23303.699120428708</v>
      </c>
      <c r="Z8" s="93">
        <f t="shared" si="0"/>
        <v>6.6575012169778347E-10</v>
      </c>
      <c r="AA8" s="93">
        <f t="shared" si="0"/>
        <v>6.6575012169778347E-10</v>
      </c>
      <c r="AB8" s="93">
        <f t="shared" si="0"/>
        <v>6.6575012169778347E-10</v>
      </c>
      <c r="AC8" s="93">
        <f t="shared" si="0"/>
        <v>6.6575012169778347E-10</v>
      </c>
      <c r="AD8" s="93">
        <f t="shared" si="0"/>
        <v>6.6575012169778347E-10</v>
      </c>
      <c r="AE8" s="93">
        <f t="shared" si="0"/>
        <v>6.6575012169778347E-10</v>
      </c>
      <c r="AF8" s="93">
        <f t="shared" si="0"/>
        <v>6.6575012169778347E-10</v>
      </c>
      <c r="AG8" s="93">
        <f t="shared" si="0"/>
        <v>6.6575012169778347E-10</v>
      </c>
      <c r="AH8" s="93">
        <f t="shared" si="0"/>
        <v>6.6575012169778347E-10</v>
      </c>
      <c r="AI8" s="93">
        <f t="shared" si="0"/>
        <v>6.6575012169778347E-10</v>
      </c>
      <c r="AJ8" s="93">
        <f t="shared" si="0"/>
        <v>6.6575012169778347E-10</v>
      </c>
      <c r="AK8" s="93">
        <f t="shared" si="0"/>
        <v>6.6575012169778347E-10</v>
      </c>
      <c r="AL8" s="94"/>
    </row>
    <row r="9" spans="1:38">
      <c r="A9" s="95" t="s">
        <v>79</v>
      </c>
      <c r="B9" s="96">
        <f t="shared" ref="B9:AK9" si="1">IF(B7&gt;$B$3,0,(($B$2/12)/(1-(1+$B$2/12)^-$B$3))*$B$1)</f>
        <v>23536.736111632323</v>
      </c>
      <c r="C9" s="96">
        <f t="shared" si="1"/>
        <v>23536.736111632323</v>
      </c>
      <c r="D9" s="96">
        <f t="shared" si="1"/>
        <v>23536.736111632323</v>
      </c>
      <c r="E9" s="96">
        <f t="shared" si="1"/>
        <v>23536.736111632323</v>
      </c>
      <c r="F9" s="96">
        <f t="shared" si="1"/>
        <v>23536.736111632323</v>
      </c>
      <c r="G9" s="96">
        <f t="shared" si="1"/>
        <v>23536.736111632323</v>
      </c>
      <c r="H9" s="96">
        <f t="shared" si="1"/>
        <v>23536.736111632323</v>
      </c>
      <c r="I9" s="96">
        <f t="shared" si="1"/>
        <v>23536.736111632323</v>
      </c>
      <c r="J9" s="96">
        <f t="shared" si="1"/>
        <v>23536.736111632323</v>
      </c>
      <c r="K9" s="96">
        <f t="shared" si="1"/>
        <v>23536.736111632323</v>
      </c>
      <c r="L9" s="96">
        <f t="shared" si="1"/>
        <v>23536.736111632323</v>
      </c>
      <c r="M9" s="96">
        <f t="shared" si="1"/>
        <v>23536.736111632323</v>
      </c>
      <c r="N9" s="96">
        <f t="shared" si="1"/>
        <v>23536.736111632323</v>
      </c>
      <c r="O9" s="96">
        <f t="shared" si="1"/>
        <v>23536.736111632323</v>
      </c>
      <c r="P9" s="96">
        <f t="shared" si="1"/>
        <v>23536.736111632323</v>
      </c>
      <c r="Q9" s="96">
        <f t="shared" si="1"/>
        <v>23536.736111632323</v>
      </c>
      <c r="R9" s="96">
        <f t="shared" si="1"/>
        <v>23536.736111632323</v>
      </c>
      <c r="S9" s="96">
        <f t="shared" si="1"/>
        <v>23536.736111632323</v>
      </c>
      <c r="T9" s="96">
        <f t="shared" si="1"/>
        <v>23536.736111632323</v>
      </c>
      <c r="U9" s="96">
        <f t="shared" si="1"/>
        <v>23536.736111632323</v>
      </c>
      <c r="V9" s="96">
        <f t="shared" si="1"/>
        <v>23536.736111632323</v>
      </c>
      <c r="W9" s="96">
        <f t="shared" si="1"/>
        <v>23536.736111632323</v>
      </c>
      <c r="X9" s="96">
        <f t="shared" si="1"/>
        <v>23536.736111632323</v>
      </c>
      <c r="Y9" s="96">
        <f t="shared" si="1"/>
        <v>23536.736111632323</v>
      </c>
      <c r="Z9" s="96">
        <f t="shared" si="1"/>
        <v>0</v>
      </c>
      <c r="AA9" s="96">
        <f t="shared" si="1"/>
        <v>0</v>
      </c>
      <c r="AB9" s="96">
        <f t="shared" si="1"/>
        <v>0</v>
      </c>
      <c r="AC9" s="96">
        <f t="shared" si="1"/>
        <v>0</v>
      </c>
      <c r="AD9" s="96">
        <f t="shared" si="1"/>
        <v>0</v>
      </c>
      <c r="AE9" s="96">
        <f t="shared" si="1"/>
        <v>0</v>
      </c>
      <c r="AF9" s="96">
        <f t="shared" si="1"/>
        <v>0</v>
      </c>
      <c r="AG9" s="96">
        <f t="shared" si="1"/>
        <v>0</v>
      </c>
      <c r="AH9" s="96">
        <f t="shared" si="1"/>
        <v>0</v>
      </c>
      <c r="AI9" s="96">
        <f t="shared" si="1"/>
        <v>0</v>
      </c>
      <c r="AJ9" s="96">
        <f t="shared" si="1"/>
        <v>0</v>
      </c>
      <c r="AK9" s="96">
        <f t="shared" si="1"/>
        <v>0</v>
      </c>
    </row>
    <row r="10" spans="1:38">
      <c r="A10" s="86" t="s">
        <v>80</v>
      </c>
      <c r="B10" s="93">
        <f>B9/(1+$B$2/12)^($B$3-B7+1)</f>
        <v>18536.736111632323</v>
      </c>
      <c r="C10" s="93">
        <f t="shared" ref="C10:AK10" si="2">C9/(1+$B$2/12)^($B$3-C7+1)</f>
        <v>18722.103472748651</v>
      </c>
      <c r="D10" s="93">
        <f t="shared" si="2"/>
        <v>18909.324507476133</v>
      </c>
      <c r="E10" s="93">
        <f t="shared" si="2"/>
        <v>19098.4177525509</v>
      </c>
      <c r="F10" s="93">
        <f t="shared" si="2"/>
        <v>19289.401930076405</v>
      </c>
      <c r="G10" s="93">
        <f>G9/(1+$B$2/12)^($B$3-G7+1)</f>
        <v>19482.29594937717</v>
      </c>
      <c r="H10" s="93">
        <f t="shared" si="2"/>
        <v>19677.11890887094</v>
      </c>
      <c r="I10" s="93">
        <f t="shared" si="2"/>
        <v>19873.890097959651</v>
      </c>
      <c r="J10" s="93">
        <f t="shared" si="2"/>
        <v>20072.628998939246</v>
      </c>
      <c r="K10" s="93">
        <f t="shared" si="2"/>
        <v>20273.355288928644</v>
      </c>
      <c r="L10" s="93">
        <f t="shared" si="2"/>
        <v>20476.088841817927</v>
      </c>
      <c r="M10" s="93">
        <f t="shared" si="2"/>
        <v>20680.849730236107</v>
      </c>
      <c r="N10" s="93">
        <f t="shared" si="2"/>
        <v>20887.658227538472</v>
      </c>
      <c r="O10" s="93">
        <f t="shared" si="2"/>
        <v>21096.534809813857</v>
      </c>
      <c r="P10" s="93">
        <f t="shared" si="2"/>
        <v>21307.500157911989</v>
      </c>
      <c r="Q10" s="93">
        <f t="shared" si="2"/>
        <v>21520.575159491109</v>
      </c>
      <c r="R10" s="93">
        <f t="shared" si="2"/>
        <v>21735.780911086022</v>
      </c>
      <c r="S10" s="93">
        <f t="shared" si="2"/>
        <v>21953.13872019689</v>
      </c>
      <c r="T10" s="93">
        <f t="shared" si="2"/>
        <v>22172.670107398852</v>
      </c>
      <c r="U10" s="93">
        <f t="shared" si="2"/>
        <v>22394.396808472844</v>
      </c>
      <c r="V10" s="93">
        <f t="shared" si="2"/>
        <v>22618.340776557572</v>
      </c>
      <c r="W10" s="93">
        <f t="shared" si="2"/>
        <v>22844.524184323149</v>
      </c>
      <c r="X10" s="93">
        <f t="shared" si="2"/>
        <v>23072.969426166379</v>
      </c>
      <c r="Y10" s="93">
        <f t="shared" si="2"/>
        <v>23303.699120428042</v>
      </c>
      <c r="Z10" s="93">
        <f t="shared" si="2"/>
        <v>0</v>
      </c>
      <c r="AA10" s="93">
        <f t="shared" si="2"/>
        <v>0</v>
      </c>
      <c r="AB10" s="93">
        <f t="shared" si="2"/>
        <v>0</v>
      </c>
      <c r="AC10" s="93">
        <f t="shared" si="2"/>
        <v>0</v>
      </c>
      <c r="AD10" s="93">
        <f t="shared" si="2"/>
        <v>0</v>
      </c>
      <c r="AE10" s="93">
        <f t="shared" si="2"/>
        <v>0</v>
      </c>
      <c r="AF10" s="93">
        <f t="shared" si="2"/>
        <v>0</v>
      </c>
      <c r="AG10" s="93">
        <f t="shared" si="2"/>
        <v>0</v>
      </c>
      <c r="AH10" s="93">
        <f t="shared" si="2"/>
        <v>0</v>
      </c>
      <c r="AI10" s="93">
        <f t="shared" si="2"/>
        <v>0</v>
      </c>
      <c r="AJ10" s="93">
        <f t="shared" si="2"/>
        <v>0</v>
      </c>
      <c r="AK10" s="93">
        <f t="shared" si="2"/>
        <v>0</v>
      </c>
      <c r="AL10" s="94"/>
    </row>
    <row r="11" spans="1:38">
      <c r="A11" s="86" t="s">
        <v>81</v>
      </c>
      <c r="B11" s="93">
        <f>B9*(1-1/(1+$B$2/12)^($B$3-B7+1))</f>
        <v>5000</v>
      </c>
      <c r="C11" s="93">
        <f t="shared" ref="C11:AK11" si="3">C9*(1-1/(1+$B$2/12)^($B$3-C7+1))</f>
        <v>4814.6326388836742</v>
      </c>
      <c r="D11" s="93">
        <f t="shared" si="3"/>
        <v>4627.4116041561902</v>
      </c>
      <c r="E11" s="93">
        <f t="shared" si="3"/>
        <v>4438.3183590814233</v>
      </c>
      <c r="F11" s="93">
        <f t="shared" si="3"/>
        <v>4247.3341815559179</v>
      </c>
      <c r="G11" s="93">
        <f t="shared" si="3"/>
        <v>4054.4401622551504</v>
      </c>
      <c r="H11" s="93">
        <f t="shared" si="3"/>
        <v>3859.6172027613834</v>
      </c>
      <c r="I11" s="93">
        <f t="shared" si="3"/>
        <v>3662.8460136726744</v>
      </c>
      <c r="J11" s="93">
        <f t="shared" si="3"/>
        <v>3464.1071126930765</v>
      </c>
      <c r="K11" s="93">
        <f t="shared" si="3"/>
        <v>3263.3808227036761</v>
      </c>
      <c r="L11" s="93">
        <f t="shared" si="3"/>
        <v>3060.6472698143957</v>
      </c>
      <c r="M11" s="93">
        <f t="shared" si="3"/>
        <v>2855.8863813962157</v>
      </c>
      <c r="N11" s="93">
        <f t="shared" si="3"/>
        <v>2649.0778840938519</v>
      </c>
      <c r="O11" s="93">
        <f t="shared" si="3"/>
        <v>2440.2013018184666</v>
      </c>
      <c r="P11" s="93">
        <f t="shared" si="3"/>
        <v>2229.235953720332</v>
      </c>
      <c r="Q11" s="93">
        <f t="shared" si="3"/>
        <v>2016.160952141214</v>
      </c>
      <c r="R11" s="93">
        <f t="shared" si="3"/>
        <v>1800.955200546299</v>
      </c>
      <c r="S11" s="93">
        <f t="shared" si="3"/>
        <v>1583.5973914354333</v>
      </c>
      <c r="T11" s="93">
        <f t="shared" si="3"/>
        <v>1364.0660042334719</v>
      </c>
      <c r="U11" s="93">
        <f t="shared" si="3"/>
        <v>1142.3393031594778</v>
      </c>
      <c r="V11" s="93">
        <f t="shared" si="3"/>
        <v>918.39533507475289</v>
      </c>
      <c r="W11" s="93">
        <f t="shared" si="3"/>
        <v>692.21192730917369</v>
      </c>
      <c r="X11" s="93">
        <f t="shared" si="3"/>
        <v>463.76668546594556</v>
      </c>
      <c r="Y11" s="93">
        <f t="shared" si="3"/>
        <v>233.03699120428064</v>
      </c>
      <c r="Z11" s="93">
        <f t="shared" si="3"/>
        <v>0</v>
      </c>
      <c r="AA11" s="93">
        <f t="shared" si="3"/>
        <v>0</v>
      </c>
      <c r="AB11" s="93">
        <f t="shared" si="3"/>
        <v>0</v>
      </c>
      <c r="AC11" s="93">
        <f t="shared" si="3"/>
        <v>0</v>
      </c>
      <c r="AD11" s="93">
        <f t="shared" si="3"/>
        <v>0</v>
      </c>
      <c r="AE11" s="93">
        <f t="shared" si="3"/>
        <v>0</v>
      </c>
      <c r="AF11" s="93">
        <f t="shared" si="3"/>
        <v>0</v>
      </c>
      <c r="AG11" s="93">
        <f t="shared" si="3"/>
        <v>0</v>
      </c>
      <c r="AH11" s="93">
        <f t="shared" si="3"/>
        <v>0</v>
      </c>
      <c r="AI11" s="93">
        <f t="shared" si="3"/>
        <v>0</v>
      </c>
      <c r="AJ11" s="93">
        <f t="shared" si="3"/>
        <v>0</v>
      </c>
      <c r="AK11" s="93">
        <f t="shared" si="3"/>
        <v>0</v>
      </c>
      <c r="AL11" s="94"/>
    </row>
    <row r="12" spans="1:38">
      <c r="A12" s="86" t="s">
        <v>82</v>
      </c>
      <c r="B12" s="93">
        <f>B8-B9</f>
        <v>476463.26388836768</v>
      </c>
      <c r="C12" s="93">
        <f>C8-C9</f>
        <v>457926.52777673537</v>
      </c>
      <c r="D12" s="93">
        <f t="shared" ref="D12:AK12" si="4">D8-D9</f>
        <v>439204.42430398671</v>
      </c>
      <c r="E12" s="93">
        <f t="shared" si="4"/>
        <v>420295.09979651059</v>
      </c>
      <c r="F12" s="93">
        <f t="shared" si="4"/>
        <v>401196.68204395968</v>
      </c>
      <c r="G12" s="93">
        <f t="shared" si="4"/>
        <v>381907.28011388326</v>
      </c>
      <c r="H12" s="93">
        <f t="shared" si="4"/>
        <v>362424.98416450608</v>
      </c>
      <c r="I12" s="93">
        <f t="shared" si="4"/>
        <v>342747.86525563512</v>
      </c>
      <c r="J12" s="93">
        <f t="shared" si="4"/>
        <v>322873.97515767545</v>
      </c>
      <c r="K12" s="93">
        <f t="shared" si="4"/>
        <v>302801.34615873621</v>
      </c>
      <c r="L12" s="93">
        <f>L8-L9</f>
        <v>282527.99086980755</v>
      </c>
      <c r="M12" s="93">
        <f>M8-M9</f>
        <v>262051.90202798962</v>
      </c>
      <c r="N12" s="93">
        <f t="shared" si="4"/>
        <v>241371.05229775351</v>
      </c>
      <c r="O12" s="93">
        <f t="shared" si="4"/>
        <v>220483.39407021506</v>
      </c>
      <c r="P12" s="93">
        <f t="shared" si="4"/>
        <v>199386.85926040119</v>
      </c>
      <c r="Q12" s="93">
        <f t="shared" si="4"/>
        <v>178079.35910248919</v>
      </c>
      <c r="R12" s="93">
        <f t="shared" si="4"/>
        <v>156558.7839429981</v>
      </c>
      <c r="S12" s="93">
        <f t="shared" si="4"/>
        <v>134823.00303191209</v>
      </c>
      <c r="T12" s="93">
        <f t="shared" si="4"/>
        <v>112869.86431171518</v>
      </c>
      <c r="U12" s="93">
        <f t="shared" si="4"/>
        <v>90697.194204316329</v>
      </c>
      <c r="V12" s="93">
        <f t="shared" si="4"/>
        <v>68302.797395843489</v>
      </c>
      <c r="W12" s="93">
        <f t="shared" si="4"/>
        <v>45684.456619285913</v>
      </c>
      <c r="X12" s="93">
        <f t="shared" si="4"/>
        <v>22839.932434962764</v>
      </c>
      <c r="Y12" s="93">
        <f t="shared" si="4"/>
        <v>-233.03699120361489</v>
      </c>
      <c r="Z12" s="93">
        <f t="shared" si="4"/>
        <v>6.6575012169778347E-10</v>
      </c>
      <c r="AA12" s="93">
        <f t="shared" si="4"/>
        <v>6.6575012169778347E-10</v>
      </c>
      <c r="AB12" s="93">
        <f t="shared" si="4"/>
        <v>6.6575012169778347E-10</v>
      </c>
      <c r="AC12" s="93">
        <f t="shared" si="4"/>
        <v>6.6575012169778347E-10</v>
      </c>
      <c r="AD12" s="93">
        <f t="shared" si="4"/>
        <v>6.6575012169778347E-10</v>
      </c>
      <c r="AE12" s="93">
        <f t="shared" si="4"/>
        <v>6.6575012169778347E-10</v>
      </c>
      <c r="AF12" s="93">
        <f t="shared" si="4"/>
        <v>6.6575012169778347E-10</v>
      </c>
      <c r="AG12" s="93">
        <f t="shared" si="4"/>
        <v>6.6575012169778347E-10</v>
      </c>
      <c r="AH12" s="93">
        <f t="shared" si="4"/>
        <v>6.6575012169778347E-10</v>
      </c>
      <c r="AI12" s="93">
        <f t="shared" si="4"/>
        <v>6.6575012169778347E-10</v>
      </c>
      <c r="AJ12" s="93">
        <f t="shared" si="4"/>
        <v>6.6575012169778347E-10</v>
      </c>
      <c r="AK12" s="93">
        <f t="shared" si="4"/>
        <v>6.6575012169778347E-10</v>
      </c>
    </row>
    <row r="13" spans="1:38">
      <c r="A13" s="86" t="s">
        <v>83</v>
      </c>
      <c r="B13" s="93">
        <f>SUM(B9:AK9)</f>
        <v>564881.66667917569</v>
      </c>
    </row>
    <row r="15" spans="1:38">
      <c r="A15" s="86" t="s">
        <v>71</v>
      </c>
    </row>
    <row r="16" spans="1:38">
      <c r="A16" s="86" t="s">
        <v>73</v>
      </c>
      <c r="B16" s="545" t="s">
        <v>74</v>
      </c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 t="s">
        <v>75</v>
      </c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 t="s">
        <v>76</v>
      </c>
      <c r="AA16" s="545"/>
      <c r="AB16" s="545"/>
      <c r="AC16" s="545"/>
      <c r="AD16" s="545"/>
      <c r="AE16" s="545"/>
      <c r="AF16" s="545"/>
      <c r="AG16" s="545"/>
      <c r="AH16" s="545"/>
      <c r="AI16" s="545"/>
      <c r="AJ16" s="545"/>
      <c r="AK16" s="545"/>
    </row>
    <row r="17" spans="1:38">
      <c r="A17" s="86" t="s">
        <v>77</v>
      </c>
      <c r="B17" s="92">
        <v>1</v>
      </c>
      <c r="C17" s="92">
        <v>2</v>
      </c>
      <c r="D17" s="92">
        <v>3</v>
      </c>
      <c r="E17" s="92">
        <v>4</v>
      </c>
      <c r="F17" s="92">
        <v>5</v>
      </c>
      <c r="G17" s="92">
        <v>6</v>
      </c>
      <c r="H17" s="92">
        <v>7</v>
      </c>
      <c r="I17" s="92">
        <v>8</v>
      </c>
      <c r="J17" s="92">
        <v>9</v>
      </c>
      <c r="K17" s="92">
        <v>10</v>
      </c>
      <c r="L17" s="92">
        <v>11</v>
      </c>
      <c r="M17" s="92">
        <v>12</v>
      </c>
      <c r="N17" s="92">
        <v>13</v>
      </c>
      <c r="O17" s="92">
        <v>14</v>
      </c>
      <c r="P17" s="92">
        <v>15</v>
      </c>
      <c r="Q17" s="92">
        <v>16</v>
      </c>
      <c r="R17" s="92">
        <v>17</v>
      </c>
      <c r="S17" s="92">
        <v>18</v>
      </c>
      <c r="T17" s="92">
        <v>19</v>
      </c>
      <c r="U17" s="92">
        <v>20</v>
      </c>
      <c r="V17" s="92">
        <v>21</v>
      </c>
      <c r="W17" s="92">
        <v>22</v>
      </c>
      <c r="X17" s="92">
        <v>23</v>
      </c>
      <c r="Y17" s="92">
        <v>24</v>
      </c>
      <c r="Z17" s="92">
        <v>25</v>
      </c>
      <c r="AA17" s="92">
        <v>26</v>
      </c>
      <c r="AB17" s="92">
        <v>27</v>
      </c>
      <c r="AC17" s="92">
        <v>28</v>
      </c>
      <c r="AD17" s="92">
        <v>29</v>
      </c>
      <c r="AE17" s="92">
        <v>30</v>
      </c>
      <c r="AF17" s="92">
        <v>31</v>
      </c>
      <c r="AG17" s="92">
        <v>32</v>
      </c>
      <c r="AH17" s="92">
        <v>33</v>
      </c>
      <c r="AI17" s="92">
        <v>34</v>
      </c>
      <c r="AJ17" s="92">
        <v>35</v>
      </c>
      <c r="AK17" s="92">
        <v>36</v>
      </c>
      <c r="AL17" s="92">
        <v>37</v>
      </c>
    </row>
    <row r="18" spans="1:38">
      <c r="A18" s="86" t="s">
        <v>84</v>
      </c>
      <c r="B18" s="97">
        <f>$B$1</f>
        <v>500000</v>
      </c>
      <c r="C18" s="97">
        <f>IF(D17&gt;$B$3,0,B18-C20)</f>
        <v>479166.66666666669</v>
      </c>
      <c r="D18" s="97">
        <f t="shared" ref="D18:AK18" si="5">IF(E17&gt;$B$3,0,C18-D20)</f>
        <v>458333.33333333337</v>
      </c>
      <c r="E18" s="97">
        <f t="shared" si="5"/>
        <v>437500.00000000006</v>
      </c>
      <c r="F18" s="97">
        <f t="shared" si="5"/>
        <v>416666.66666666674</v>
      </c>
      <c r="G18" s="97">
        <f t="shared" si="5"/>
        <v>395833.33333333343</v>
      </c>
      <c r="H18" s="97">
        <f t="shared" si="5"/>
        <v>375000.00000000012</v>
      </c>
      <c r="I18" s="97">
        <f t="shared" si="5"/>
        <v>354166.6666666668</v>
      </c>
      <c r="J18" s="97">
        <f t="shared" si="5"/>
        <v>333333.33333333349</v>
      </c>
      <c r="K18" s="97">
        <f t="shared" si="5"/>
        <v>312500.00000000017</v>
      </c>
      <c r="L18" s="97">
        <f t="shared" si="5"/>
        <v>291666.66666666686</v>
      </c>
      <c r="M18" s="97">
        <f t="shared" si="5"/>
        <v>270833.33333333355</v>
      </c>
      <c r="N18" s="97">
        <f t="shared" si="5"/>
        <v>250000.0000000002</v>
      </c>
      <c r="O18" s="97">
        <f t="shared" si="5"/>
        <v>229166.66666666686</v>
      </c>
      <c r="P18" s="97">
        <f t="shared" si="5"/>
        <v>208333.33333333352</v>
      </c>
      <c r="Q18" s="97">
        <f t="shared" si="5"/>
        <v>187500.00000000017</v>
      </c>
      <c r="R18" s="97">
        <f t="shared" si="5"/>
        <v>166666.66666666683</v>
      </c>
      <c r="S18" s="97">
        <f t="shared" si="5"/>
        <v>145833.33333333349</v>
      </c>
      <c r="T18" s="97">
        <f t="shared" si="5"/>
        <v>125000.00000000016</v>
      </c>
      <c r="U18" s="97">
        <f t="shared" si="5"/>
        <v>104166.66666666683</v>
      </c>
      <c r="V18" s="97">
        <f t="shared" si="5"/>
        <v>83333.333333333503</v>
      </c>
      <c r="W18" s="97">
        <f t="shared" si="5"/>
        <v>62500.000000000175</v>
      </c>
      <c r="X18" s="97">
        <f t="shared" si="5"/>
        <v>41666.666666666846</v>
      </c>
      <c r="Y18" s="97">
        <f t="shared" si="5"/>
        <v>0</v>
      </c>
      <c r="Z18" s="97">
        <f t="shared" si="5"/>
        <v>0</v>
      </c>
      <c r="AA18" s="97">
        <f t="shared" si="5"/>
        <v>0</v>
      </c>
      <c r="AB18" s="97">
        <f t="shared" si="5"/>
        <v>0</v>
      </c>
      <c r="AC18" s="97">
        <f t="shared" si="5"/>
        <v>0</v>
      </c>
      <c r="AD18" s="97">
        <f t="shared" si="5"/>
        <v>0</v>
      </c>
      <c r="AE18" s="97">
        <f t="shared" si="5"/>
        <v>0</v>
      </c>
      <c r="AF18" s="97">
        <f t="shared" si="5"/>
        <v>0</v>
      </c>
      <c r="AG18" s="97">
        <f t="shared" si="5"/>
        <v>0</v>
      </c>
      <c r="AH18" s="97">
        <f t="shared" si="5"/>
        <v>0</v>
      </c>
      <c r="AI18" s="97">
        <f t="shared" si="5"/>
        <v>0</v>
      </c>
      <c r="AJ18" s="97">
        <f t="shared" si="5"/>
        <v>0</v>
      </c>
      <c r="AK18" s="97">
        <f t="shared" si="5"/>
        <v>0</v>
      </c>
    </row>
    <row r="19" spans="1:38">
      <c r="A19" s="86" t="s">
        <v>81</v>
      </c>
      <c r="B19" s="97">
        <f>B18*$B$2/12</f>
        <v>5000</v>
      </c>
      <c r="C19" s="97">
        <f>C18*$B$2/12</f>
        <v>4791.666666666667</v>
      </c>
      <c r="D19" s="97">
        <f t="shared" ref="D19:AK19" si="6">D18*$B$2/12</f>
        <v>4583.333333333333</v>
      </c>
      <c r="E19" s="97">
        <f t="shared" si="6"/>
        <v>4375.0000000000009</v>
      </c>
      <c r="F19" s="97">
        <f t="shared" si="6"/>
        <v>4166.666666666667</v>
      </c>
      <c r="G19" s="97">
        <f t="shared" si="6"/>
        <v>3958.3333333333339</v>
      </c>
      <c r="H19" s="97">
        <f t="shared" si="6"/>
        <v>3750.0000000000014</v>
      </c>
      <c r="I19" s="97">
        <f t="shared" si="6"/>
        <v>3541.6666666666679</v>
      </c>
      <c r="J19" s="97">
        <f t="shared" si="6"/>
        <v>3333.3333333333344</v>
      </c>
      <c r="K19" s="97">
        <f t="shared" si="6"/>
        <v>3125.0000000000018</v>
      </c>
      <c r="L19" s="97">
        <f t="shared" si="6"/>
        <v>2916.6666666666683</v>
      </c>
      <c r="M19" s="97">
        <f>M18*$B$2/12</f>
        <v>2708.3333333333353</v>
      </c>
      <c r="N19" s="97">
        <f t="shared" si="6"/>
        <v>2500.0000000000018</v>
      </c>
      <c r="O19" s="97">
        <f t="shared" si="6"/>
        <v>2291.6666666666683</v>
      </c>
      <c r="P19" s="97">
        <f t="shared" si="6"/>
        <v>2083.3333333333353</v>
      </c>
      <c r="Q19" s="97">
        <f t="shared" si="6"/>
        <v>1875.0000000000018</v>
      </c>
      <c r="R19" s="97">
        <f t="shared" si="6"/>
        <v>1666.6666666666681</v>
      </c>
      <c r="S19" s="97">
        <f t="shared" si="6"/>
        <v>1458.3333333333348</v>
      </c>
      <c r="T19" s="97">
        <f t="shared" si="6"/>
        <v>1250.0000000000016</v>
      </c>
      <c r="U19" s="97">
        <f t="shared" si="6"/>
        <v>1041.6666666666683</v>
      </c>
      <c r="V19" s="97">
        <f t="shared" si="6"/>
        <v>833.33333333333496</v>
      </c>
      <c r="W19" s="97">
        <f t="shared" si="6"/>
        <v>625.00000000000171</v>
      </c>
      <c r="X19" s="97">
        <f t="shared" si="6"/>
        <v>416.66666666666839</v>
      </c>
      <c r="Y19" s="97">
        <f t="shared" si="6"/>
        <v>0</v>
      </c>
      <c r="Z19" s="97">
        <f t="shared" si="6"/>
        <v>0</v>
      </c>
      <c r="AA19" s="97">
        <f t="shared" si="6"/>
        <v>0</v>
      </c>
      <c r="AB19" s="97">
        <f t="shared" si="6"/>
        <v>0</v>
      </c>
      <c r="AC19" s="97">
        <f t="shared" si="6"/>
        <v>0</v>
      </c>
      <c r="AD19" s="97">
        <f t="shared" si="6"/>
        <v>0</v>
      </c>
      <c r="AE19" s="97">
        <f t="shared" si="6"/>
        <v>0</v>
      </c>
      <c r="AF19" s="97">
        <f t="shared" si="6"/>
        <v>0</v>
      </c>
      <c r="AG19" s="97">
        <f t="shared" si="6"/>
        <v>0</v>
      </c>
      <c r="AH19" s="97">
        <f t="shared" si="6"/>
        <v>0</v>
      </c>
      <c r="AI19" s="97">
        <f t="shared" si="6"/>
        <v>0</v>
      </c>
      <c r="AJ19" s="97">
        <f t="shared" si="6"/>
        <v>0</v>
      </c>
      <c r="AK19" s="97">
        <f t="shared" si="6"/>
        <v>0</v>
      </c>
    </row>
    <row r="20" spans="1:38">
      <c r="A20" s="86" t="s">
        <v>80</v>
      </c>
      <c r="B20" s="97">
        <f>IF(B17&lt;=$B$3,$B$1/$B$3,0)</f>
        <v>20833.333333333332</v>
      </c>
      <c r="C20" s="97">
        <f>IF(C17&lt;=$B$3,$B$1/$B$3,0)</f>
        <v>20833.333333333332</v>
      </c>
      <c r="D20" s="97">
        <f t="shared" ref="D20:AK20" si="7">IF(D17&lt;=$B$3,$B$1/$B$3,0)</f>
        <v>20833.333333333332</v>
      </c>
      <c r="E20" s="97">
        <f t="shared" si="7"/>
        <v>20833.333333333332</v>
      </c>
      <c r="F20" s="97">
        <f t="shared" si="7"/>
        <v>20833.333333333332</v>
      </c>
      <c r="G20" s="97">
        <f t="shared" si="7"/>
        <v>20833.333333333332</v>
      </c>
      <c r="H20" s="97">
        <f t="shared" si="7"/>
        <v>20833.333333333332</v>
      </c>
      <c r="I20" s="97">
        <f t="shared" si="7"/>
        <v>20833.333333333332</v>
      </c>
      <c r="J20" s="97">
        <f t="shared" si="7"/>
        <v>20833.333333333332</v>
      </c>
      <c r="K20" s="97">
        <f t="shared" si="7"/>
        <v>20833.333333333332</v>
      </c>
      <c r="L20" s="97">
        <f t="shared" si="7"/>
        <v>20833.333333333332</v>
      </c>
      <c r="M20" s="97">
        <f t="shared" si="7"/>
        <v>20833.333333333332</v>
      </c>
      <c r="N20" s="97">
        <f t="shared" si="7"/>
        <v>20833.333333333332</v>
      </c>
      <c r="O20" s="97">
        <f t="shared" si="7"/>
        <v>20833.333333333332</v>
      </c>
      <c r="P20" s="97">
        <f t="shared" si="7"/>
        <v>20833.333333333332</v>
      </c>
      <c r="Q20" s="97">
        <f t="shared" si="7"/>
        <v>20833.333333333332</v>
      </c>
      <c r="R20" s="97">
        <f t="shared" si="7"/>
        <v>20833.333333333332</v>
      </c>
      <c r="S20" s="97">
        <f t="shared" si="7"/>
        <v>20833.333333333332</v>
      </c>
      <c r="T20" s="97">
        <f t="shared" si="7"/>
        <v>20833.333333333332</v>
      </c>
      <c r="U20" s="97">
        <f t="shared" si="7"/>
        <v>20833.333333333332</v>
      </c>
      <c r="V20" s="97">
        <f t="shared" si="7"/>
        <v>20833.333333333332</v>
      </c>
      <c r="W20" s="97">
        <f t="shared" si="7"/>
        <v>20833.333333333332</v>
      </c>
      <c r="X20" s="97">
        <f t="shared" si="7"/>
        <v>20833.333333333332</v>
      </c>
      <c r="Y20" s="97">
        <f t="shared" si="7"/>
        <v>20833.333333333332</v>
      </c>
      <c r="Z20" s="97">
        <f t="shared" si="7"/>
        <v>0</v>
      </c>
      <c r="AA20" s="97">
        <f t="shared" si="7"/>
        <v>0</v>
      </c>
      <c r="AB20" s="97">
        <f t="shared" si="7"/>
        <v>0</v>
      </c>
      <c r="AC20" s="97">
        <f t="shared" si="7"/>
        <v>0</v>
      </c>
      <c r="AD20" s="97">
        <f t="shared" si="7"/>
        <v>0</v>
      </c>
      <c r="AE20" s="97">
        <f t="shared" si="7"/>
        <v>0</v>
      </c>
      <c r="AF20" s="97">
        <f t="shared" si="7"/>
        <v>0</v>
      </c>
      <c r="AG20" s="97">
        <f t="shared" si="7"/>
        <v>0</v>
      </c>
      <c r="AH20" s="97">
        <f t="shared" si="7"/>
        <v>0</v>
      </c>
      <c r="AI20" s="97">
        <f t="shared" si="7"/>
        <v>0</v>
      </c>
      <c r="AJ20" s="97">
        <f t="shared" si="7"/>
        <v>0</v>
      </c>
      <c r="AK20" s="97">
        <f t="shared" si="7"/>
        <v>0</v>
      </c>
    </row>
    <row r="21" spans="1:38">
      <c r="A21" s="95" t="s">
        <v>79</v>
      </c>
      <c r="B21" s="96">
        <f>B19+B20</f>
        <v>25833.333333333332</v>
      </c>
      <c r="C21" s="96">
        <f>C19+C20</f>
        <v>25625</v>
      </c>
      <c r="D21" s="96">
        <f t="shared" ref="D21:AK21" si="8">D19+D20</f>
        <v>25416.666666666664</v>
      </c>
      <c r="E21" s="96">
        <f t="shared" si="8"/>
        <v>25208.333333333332</v>
      </c>
      <c r="F21" s="96">
        <f t="shared" si="8"/>
        <v>25000</v>
      </c>
      <c r="G21" s="96">
        <f t="shared" si="8"/>
        <v>24791.666666666664</v>
      </c>
      <c r="H21" s="96">
        <f t="shared" si="8"/>
        <v>24583.333333333332</v>
      </c>
      <c r="I21" s="96">
        <f t="shared" si="8"/>
        <v>24375</v>
      </c>
      <c r="J21" s="96">
        <f t="shared" si="8"/>
        <v>24166.666666666668</v>
      </c>
      <c r="K21" s="96">
        <f t="shared" si="8"/>
        <v>23958.333333333336</v>
      </c>
      <c r="L21" s="96">
        <f t="shared" si="8"/>
        <v>23750</v>
      </c>
      <c r="M21" s="96">
        <f t="shared" si="8"/>
        <v>23541.666666666668</v>
      </c>
      <c r="N21" s="96">
        <f t="shared" si="8"/>
        <v>23333.333333333336</v>
      </c>
      <c r="O21" s="96">
        <f t="shared" si="8"/>
        <v>23125</v>
      </c>
      <c r="P21" s="96">
        <f t="shared" si="8"/>
        <v>22916.666666666668</v>
      </c>
      <c r="Q21" s="96">
        <f t="shared" si="8"/>
        <v>22708.333333333336</v>
      </c>
      <c r="R21" s="96">
        <f t="shared" si="8"/>
        <v>22500</v>
      </c>
      <c r="S21" s="96">
        <f t="shared" si="8"/>
        <v>22291.666666666668</v>
      </c>
      <c r="T21" s="96">
        <f t="shared" si="8"/>
        <v>22083.333333333332</v>
      </c>
      <c r="U21" s="96">
        <f t="shared" si="8"/>
        <v>21875</v>
      </c>
      <c r="V21" s="96">
        <f t="shared" si="8"/>
        <v>21666.666666666668</v>
      </c>
      <c r="W21" s="96">
        <f t="shared" si="8"/>
        <v>21458.333333333332</v>
      </c>
      <c r="X21" s="96">
        <f t="shared" si="8"/>
        <v>21250</v>
      </c>
      <c r="Y21" s="96">
        <f t="shared" si="8"/>
        <v>20833.333333333332</v>
      </c>
      <c r="Z21" s="96">
        <f t="shared" si="8"/>
        <v>0</v>
      </c>
      <c r="AA21" s="96">
        <f t="shared" si="8"/>
        <v>0</v>
      </c>
      <c r="AB21" s="96">
        <f t="shared" si="8"/>
        <v>0</v>
      </c>
      <c r="AC21" s="96">
        <f t="shared" si="8"/>
        <v>0</v>
      </c>
      <c r="AD21" s="96">
        <f t="shared" si="8"/>
        <v>0</v>
      </c>
      <c r="AE21" s="96">
        <f t="shared" si="8"/>
        <v>0</v>
      </c>
      <c r="AF21" s="96">
        <f t="shared" si="8"/>
        <v>0</v>
      </c>
      <c r="AG21" s="96">
        <f t="shared" si="8"/>
        <v>0</v>
      </c>
      <c r="AH21" s="96">
        <f t="shared" si="8"/>
        <v>0</v>
      </c>
      <c r="AI21" s="96">
        <f t="shared" si="8"/>
        <v>0</v>
      </c>
      <c r="AJ21" s="96">
        <f t="shared" si="8"/>
        <v>0</v>
      </c>
      <c r="AK21" s="96">
        <f t="shared" si="8"/>
        <v>0</v>
      </c>
    </row>
    <row r="22" spans="1:38">
      <c r="A22" s="86" t="s">
        <v>83</v>
      </c>
      <c r="B22" s="93">
        <f>SUM(B21:AK21)</f>
        <v>562291.66666666674</v>
      </c>
    </row>
  </sheetData>
  <mergeCells count="6">
    <mergeCell ref="B6:M6"/>
    <mergeCell ref="N6:Y6"/>
    <mergeCell ref="Z6:AK6"/>
    <mergeCell ref="B16:M16"/>
    <mergeCell ref="N16:Y16"/>
    <mergeCell ref="Z16:A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Старт</vt:lpstr>
      <vt:lpstr>Параметры</vt:lpstr>
      <vt:lpstr>Этапы</vt:lpstr>
      <vt:lpstr>Инвестиции</vt:lpstr>
      <vt:lpstr>Продажи</vt:lpstr>
      <vt:lpstr>БДР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2021-09-15T10:49:18Z</dcterms:created>
  <dcterms:modified xsi:type="dcterms:W3CDTF">2021-09-21T09:05:03Z</dcterms:modified>
</cp:coreProperties>
</file>